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32.xml" ContentType="application/vnd.openxmlformats-officedocument.spreadsheetml.pivotTable+xml"/>
  <Override PartName="/xl/pivotTables/pivotTable33.xml" ContentType="application/vnd.openxmlformats-officedocument.spreadsheetml.pivotTable+xml"/>
  <Override PartName="/xl/pivotTables/pivotTable34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coalmeida\Downloads\"/>
    </mc:Choice>
  </mc:AlternateContent>
  <xr:revisionPtr revIDLastSave="0" documentId="13_ncr:1_{B1FB4D3B-436A-414C-BF3A-4AF861615657}" xr6:coauthVersionLast="47" xr6:coauthVersionMax="47" xr10:uidLastSave="{00000000-0000-0000-0000-000000000000}"/>
  <bookViews>
    <workbookView xWindow="48120" yWindow="405" windowWidth="18960" windowHeight="15120" firstSheet="1" activeTab="1" xr2:uid="{2518D4D5-E7CC-46AC-AF7D-66BBF5F9C7C7}"/>
  </bookViews>
  <sheets>
    <sheet name="Analysis 1" sheetId="1" state="hidden" r:id="rId1"/>
    <sheet name="Data for analysis" sheetId="3" r:id="rId2"/>
    <sheet name="Individual Vehicles" sheetId="11" r:id="rId3"/>
    <sheet name="Hoja1" sheetId="10" state="hidden" r:id="rId4"/>
    <sheet name="Hoja2" sheetId="2" state="hidden" r:id="rId5"/>
  </sheets>
  <definedNames>
    <definedName name="_xlnm._FilterDatabase" localSheetId="0" hidden="1">'Analysis 1'!$A$1:$S$13</definedName>
    <definedName name="_xlnm._FilterDatabase" localSheetId="1" hidden="1">'Data for analysis'!$Q$1:$V$1</definedName>
  </definedNames>
  <calcPr calcId="191029"/>
  <pivotCaches>
    <pivotCache cacheId="9" r:id="rId6"/>
    <pivotCache cacheId="15" r:id="rId7"/>
    <pivotCache cacheId="26" r:id="rId8"/>
    <pivotCache cacheId="3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3" l="1"/>
  <c r="G61" i="3" s="1"/>
  <c r="I62" i="3"/>
  <c r="G62" i="3" s="1"/>
  <c r="I63" i="3"/>
  <c r="G63" i="3" s="1"/>
  <c r="I60" i="3"/>
  <c r="G60" i="3" s="1"/>
  <c r="I59" i="3"/>
  <c r="G59" i="3" s="1"/>
  <c r="I58" i="3"/>
  <c r="G58" i="3" s="1"/>
  <c r="I34" i="3"/>
  <c r="G34" i="3" s="1"/>
  <c r="I35" i="3"/>
  <c r="G35" i="3" s="1"/>
  <c r="I36" i="3"/>
  <c r="G36" i="3" s="1"/>
  <c r="I37" i="3"/>
  <c r="G37" i="3" s="1"/>
  <c r="I38" i="3"/>
  <c r="G38" i="3" s="1"/>
  <c r="I39" i="3"/>
  <c r="G39" i="3" s="1"/>
  <c r="I40" i="3"/>
  <c r="G40" i="3" s="1"/>
  <c r="I41" i="3"/>
  <c r="G41" i="3" s="1"/>
  <c r="I42" i="3"/>
  <c r="G42" i="3" s="1"/>
  <c r="I43" i="3"/>
  <c r="G43" i="3" s="1"/>
  <c r="I44" i="3"/>
  <c r="G44" i="3" s="1"/>
  <c r="I45" i="3"/>
  <c r="G45" i="3" s="1"/>
  <c r="I46" i="3"/>
  <c r="G46" i="3" s="1"/>
  <c r="I47" i="3"/>
  <c r="G47" i="3" s="1"/>
  <c r="I48" i="3"/>
  <c r="G48" i="3" s="1"/>
  <c r="I49" i="3"/>
  <c r="G49" i="3" s="1"/>
  <c r="I50" i="3"/>
  <c r="G50" i="3" s="1"/>
  <c r="I51" i="3"/>
  <c r="G51" i="3" s="1"/>
  <c r="I52" i="3"/>
  <c r="G52" i="3" s="1"/>
  <c r="I53" i="3"/>
  <c r="G53" i="3" s="1"/>
  <c r="I54" i="3"/>
  <c r="G54" i="3" s="1"/>
  <c r="I55" i="3"/>
  <c r="G55" i="3" s="1"/>
  <c r="I56" i="3"/>
  <c r="G56" i="3" s="1"/>
  <c r="I57" i="3"/>
  <c r="G57" i="3" s="1"/>
  <c r="I33" i="3"/>
  <c r="G33" i="3"/>
  <c r="L31" i="3" l="1"/>
  <c r="J31" i="3" s="1"/>
  <c r="L32" i="3"/>
  <c r="J32" i="3" s="1"/>
  <c r="I31" i="3"/>
  <c r="G31" i="3" s="1"/>
  <c r="I32" i="3"/>
  <c r="G32" i="3" s="1"/>
  <c r="L29" i="3"/>
  <c r="J29" i="3" s="1"/>
  <c r="L30" i="3"/>
  <c r="J30" i="3" s="1"/>
  <c r="L27" i="3"/>
  <c r="J27" i="3" s="1"/>
  <c r="L28" i="3"/>
  <c r="J28" i="3" s="1"/>
  <c r="I27" i="3"/>
  <c r="G27" i="3" s="1"/>
  <c r="I28" i="3"/>
  <c r="G28" i="3" s="1"/>
  <c r="I29" i="3"/>
  <c r="G29" i="3" s="1"/>
  <c r="I30" i="3"/>
  <c r="G30" i="3" s="1"/>
  <c r="L26" i="3"/>
  <c r="J26" i="3" s="1"/>
  <c r="I26" i="3"/>
  <c r="G26" i="3" s="1"/>
  <c r="L23" i="3"/>
  <c r="J23" i="3" s="1"/>
  <c r="L24" i="3"/>
  <c r="J24" i="3" s="1"/>
  <c r="L25" i="3"/>
  <c r="J25" i="3" s="1"/>
  <c r="I23" i="3"/>
  <c r="G23" i="3" s="1"/>
  <c r="I24" i="3"/>
  <c r="G24" i="3" s="1"/>
  <c r="I25" i="3"/>
  <c r="G25" i="3" s="1"/>
  <c r="L22" i="3"/>
  <c r="J22" i="3" s="1"/>
  <c r="I22" i="3"/>
  <c r="G22" i="3" s="1"/>
  <c r="L20" i="3"/>
  <c r="J20" i="3" s="1"/>
  <c r="L21" i="3"/>
  <c r="J21" i="3" s="1"/>
  <c r="I20" i="3"/>
  <c r="G20" i="3" s="1"/>
  <c r="I21" i="3"/>
  <c r="G21" i="3" s="1"/>
  <c r="L17" i="3"/>
  <c r="J17" i="3" s="1"/>
  <c r="L18" i="3"/>
  <c r="J18" i="3" s="1"/>
  <c r="L19" i="3"/>
  <c r="J19" i="3" s="1"/>
  <c r="I19" i="3"/>
  <c r="G19" i="3" s="1"/>
  <c r="I17" i="3"/>
  <c r="G17" i="3" s="1"/>
  <c r="I18" i="3"/>
  <c r="G18" i="3" s="1"/>
  <c r="L15" i="3"/>
  <c r="J15" i="3" s="1"/>
  <c r="L16" i="3"/>
  <c r="J16" i="3" s="1"/>
  <c r="I15" i="3"/>
  <c r="G15" i="3" s="1"/>
  <c r="I16" i="3"/>
  <c r="G16" i="3" s="1"/>
  <c r="L13" i="3"/>
  <c r="J13" i="3" s="1"/>
  <c r="L14" i="3"/>
  <c r="J14" i="3" s="1"/>
  <c r="I13" i="3"/>
  <c r="G13" i="3" s="1"/>
  <c r="I14" i="3"/>
  <c r="G14" i="3" s="1"/>
  <c r="L11" i="3"/>
  <c r="J11" i="3" s="1"/>
  <c r="L12" i="3"/>
  <c r="J12" i="3" s="1"/>
  <c r="I11" i="3"/>
  <c r="G11" i="3" s="1"/>
  <c r="I12" i="3"/>
  <c r="G12" i="3" s="1"/>
  <c r="L8" i="3"/>
  <c r="J8" i="3" s="1"/>
  <c r="L9" i="3"/>
  <c r="J9" i="3" s="1"/>
  <c r="L10" i="3"/>
  <c r="J10" i="3" s="1"/>
  <c r="I8" i="3"/>
  <c r="G8" i="3" s="1"/>
  <c r="I9" i="3"/>
  <c r="G9" i="3" s="1"/>
  <c r="I10" i="3"/>
  <c r="G10" i="3" s="1"/>
  <c r="L7" i="3"/>
  <c r="J7" i="3" s="1"/>
  <c r="I7" i="3"/>
  <c r="G7" i="3" s="1"/>
  <c r="L6" i="3"/>
  <c r="J6" i="3" s="1"/>
  <c r="I6" i="3"/>
  <c r="G6" i="3" s="1"/>
  <c r="L5" i="3"/>
  <c r="J5" i="3" s="1"/>
  <c r="I5" i="3"/>
  <c r="G5" i="3" s="1"/>
  <c r="L4" i="3"/>
  <c r="J4" i="3" s="1"/>
  <c r="I4" i="3"/>
  <c r="G4" i="3" s="1"/>
  <c r="L3" i="3"/>
  <c r="J3" i="3" s="1"/>
  <c r="I3" i="3"/>
  <c r="G3" i="3" s="1"/>
  <c r="I2" i="3"/>
  <c r="G2" i="3" s="1"/>
  <c r="K2" i="3"/>
  <c r="L2" i="3" s="1"/>
  <c r="J2" i="3" s="1"/>
  <c r="N3" i="3"/>
  <c r="N4" i="3"/>
  <c r="N5" i="3"/>
  <c r="N6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2" i="3"/>
  <c r="P32" i="3"/>
  <c r="P31" i="3"/>
  <c r="P30" i="3"/>
  <c r="P29" i="3"/>
  <c r="P28" i="3"/>
  <c r="P27" i="3"/>
  <c r="P21" i="3"/>
  <c r="P18" i="3"/>
  <c r="P15" i="3"/>
  <c r="P16" i="3"/>
  <c r="P14" i="3"/>
  <c r="P13" i="3"/>
  <c r="P12" i="3"/>
  <c r="P11" i="3"/>
  <c r="P10" i="3"/>
  <c r="O10" i="3"/>
  <c r="N10" i="3" s="1"/>
  <c r="P9" i="3"/>
  <c r="O9" i="3"/>
  <c r="N9" i="3" s="1"/>
  <c r="O8" i="3"/>
  <c r="N8" i="3" s="1"/>
  <c r="P8" i="3"/>
  <c r="O7" i="3"/>
  <c r="N7" i="3" s="1"/>
  <c r="P7" i="3"/>
  <c r="P6" i="3"/>
  <c r="P4" i="3"/>
  <c r="P5" i="3"/>
  <c r="P3" i="3"/>
  <c r="P2" i="3"/>
  <c r="P19" i="1" l="1"/>
  <c r="Q19" i="1"/>
  <c r="L19" i="1"/>
  <c r="Q18" i="1"/>
  <c r="M18" i="1"/>
  <c r="Q17" i="1"/>
  <c r="P17" i="1"/>
  <c r="L17" i="1"/>
  <c r="M17" i="1"/>
  <c r="L18" i="1"/>
  <c r="N18" i="1"/>
  <c r="N7" i="1"/>
  <c r="N6" i="1"/>
  <c r="N5" i="1"/>
  <c r="N4" i="1"/>
  <c r="M7" i="1"/>
  <c r="M21" i="1"/>
  <c r="Q21" i="1" s="1"/>
  <c r="P18" i="1"/>
  <c r="M15" i="1"/>
  <c r="Q15" i="1" s="1"/>
  <c r="L15" i="1"/>
  <c r="P15" i="1" s="1"/>
  <c r="M12" i="1"/>
  <c r="Q12" i="1" s="1"/>
  <c r="L11" i="1"/>
  <c r="P11" i="1" s="1"/>
  <c r="M8" i="1"/>
  <c r="Q8" i="1" s="1"/>
  <c r="L8" i="1"/>
  <c r="P8" i="1" s="1"/>
  <c r="L7" i="1"/>
  <c r="P7" i="1" s="1"/>
  <c r="Q7" i="1"/>
  <c r="M6" i="1"/>
  <c r="Q6" i="1" s="1"/>
  <c r="L6" i="1"/>
  <c r="P6" i="1" s="1"/>
  <c r="M5" i="1"/>
  <c r="Q5" i="1" s="1"/>
  <c r="L5" i="1"/>
  <c r="P5" i="1" s="1"/>
  <c r="N8" i="1"/>
  <c r="N9" i="1"/>
  <c r="N11" i="1"/>
  <c r="N12" i="1"/>
  <c r="N13" i="1"/>
  <c r="N14" i="1"/>
  <c r="N15" i="1"/>
  <c r="N16" i="1"/>
  <c r="N17" i="1"/>
  <c r="N21" i="1"/>
  <c r="N19" i="1"/>
  <c r="N20" i="1"/>
  <c r="N2" i="1"/>
  <c r="N10" i="1"/>
  <c r="N3" i="1"/>
  <c r="L10" i="1"/>
  <c r="P10" i="1" s="1"/>
  <c r="M10" i="1"/>
  <c r="Q10" i="1" s="1"/>
  <c r="F10" i="1"/>
  <c r="F4" i="1"/>
  <c r="M4" i="1"/>
  <c r="Q4" i="1" s="1"/>
  <c r="L4" i="1"/>
  <c r="P4" i="1" s="1"/>
  <c r="M2" i="1"/>
  <c r="Q2" i="1" s="1"/>
  <c r="L2" i="1"/>
  <c r="P2" i="1" s="1"/>
  <c r="F2" i="1"/>
  <c r="M20" i="1"/>
  <c r="Q20" i="1" s="1"/>
  <c r="L20" i="1"/>
  <c r="P20" i="1" s="1"/>
  <c r="F20" i="1"/>
  <c r="M19" i="1"/>
  <c r="L12" i="1"/>
  <c r="P12" i="1" s="1"/>
  <c r="M11" i="1"/>
  <c r="Q11" i="1" s="1"/>
  <c r="F5" i="1"/>
  <c r="F6" i="1"/>
  <c r="F7" i="1"/>
  <c r="F8" i="1"/>
  <c r="F9" i="1"/>
  <c r="F11" i="1"/>
  <c r="F12" i="1"/>
  <c r="F13" i="1"/>
  <c r="F14" i="1"/>
  <c r="F15" i="1"/>
  <c r="F16" i="1"/>
  <c r="F17" i="1"/>
  <c r="F18" i="1"/>
  <c r="F21" i="1"/>
  <c r="F19" i="1"/>
  <c r="F3" i="1"/>
  <c r="L13" i="1"/>
  <c r="P13" i="1" s="1"/>
  <c r="M13" i="1"/>
  <c r="Q13" i="1" s="1"/>
  <c r="M16" i="1"/>
  <c r="Q16" i="1" s="1"/>
  <c r="L16" i="1"/>
  <c r="P16" i="1" s="1"/>
  <c r="L9" i="1"/>
  <c r="P9" i="1" s="1"/>
  <c r="M9" i="1"/>
  <c r="Q9" i="1" s="1"/>
  <c r="L3" i="1"/>
  <c r="P3" i="1" s="1"/>
  <c r="M14" i="1"/>
  <c r="Q14" i="1" s="1"/>
  <c r="L14" i="1"/>
  <c r="P14" i="1" s="1"/>
  <c r="L21" i="1"/>
  <c r="P21" i="1" s="1"/>
  <c r="M3" i="1"/>
  <c r="Q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tc={6EF2CB3C-D016-42A1-83E0-5526625AB503}</author>
    <author>tc={8225E800-B498-472F-977D-A744575693CC}</author>
    <author>tc={CACDD4B6-53EF-4EC3-8ADC-DFBA80D9A4BB}</author>
    <author>tc={E1D33FFC-3057-43CF-80C3-8A43EDBF0B5B}</author>
  </authors>
  <commentList>
    <comment ref="G33" authorId="0" shapeId="0" xr:uid="{6EF2CB3C-D016-42A1-83E0-5526625AB5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This is a 2020 Mazda3</t>
      </text>
    </comment>
    <comment ref="G35" authorId="1" shapeId="0" xr:uid="{8225E800-B498-472F-977D-A744575693CC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2.0T SEL Premium R-Line </t>
      </text>
    </comment>
    <comment ref="G36" authorId="2" shapeId="0" xr:uid="{CACDD4B6-53EF-4EC3-8ADC-DFBA80D9A4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</t>
      </text>
    </comment>
    <comment ref="G37" authorId="3" shapeId="0" xr:uid="{E1D33FFC-3057-43CF-80C3-8A43EDBF0B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</t>
      </text>
    </comment>
  </commentList>
</comments>
</file>

<file path=xl/sharedStrings.xml><?xml version="1.0" encoding="utf-8"?>
<sst xmlns="http://schemas.openxmlformats.org/spreadsheetml/2006/main" count="785" uniqueCount="215">
  <si>
    <t>Make</t>
  </si>
  <si>
    <t>Model</t>
  </si>
  <si>
    <t>Trim</t>
  </si>
  <si>
    <t>MY</t>
  </si>
  <si>
    <t>Versa</t>
  </si>
  <si>
    <t>VW</t>
  </si>
  <si>
    <t>Jetta</t>
  </si>
  <si>
    <t>Nissan</t>
  </si>
  <si>
    <t>Rav4</t>
  </si>
  <si>
    <t>Toyota</t>
  </si>
  <si>
    <t>Honda</t>
  </si>
  <si>
    <t>CR-V</t>
  </si>
  <si>
    <t>Type</t>
  </si>
  <si>
    <t>SUV</t>
  </si>
  <si>
    <t>Corolla</t>
  </si>
  <si>
    <t>Sedán</t>
  </si>
  <si>
    <t>Chevrolet</t>
  </si>
  <si>
    <t>Silverado</t>
  </si>
  <si>
    <t>Ford</t>
  </si>
  <si>
    <t>Sales 2023</t>
  </si>
  <si>
    <t>Hyundai</t>
  </si>
  <si>
    <t>Tucson</t>
  </si>
  <si>
    <t>KIA</t>
  </si>
  <si>
    <t>Ex. Rate MXN USD</t>
  </si>
  <si>
    <t>Ex. Rate MXN CAD</t>
  </si>
  <si>
    <t>Sales number source: INEGI (Verified)</t>
  </si>
  <si>
    <t>Pick-up</t>
  </si>
  <si>
    <t>LT</t>
  </si>
  <si>
    <t>Sense CVT</t>
  </si>
  <si>
    <t>S / Trendline Automatic</t>
  </si>
  <si>
    <t>LE FWD GAS</t>
  </si>
  <si>
    <t>LE CVT</t>
  </si>
  <si>
    <t>Rio</t>
  </si>
  <si>
    <t>5door HB</t>
  </si>
  <si>
    <t>Mexico</t>
  </si>
  <si>
    <t>F-150</t>
  </si>
  <si>
    <t>MX price is from dealership list from December, $ USA&amp;CAD are latest on web page, both are configured to MX spec / Silverado is the Cheyenne from México</t>
  </si>
  <si>
    <t>Silverado / Cheyenne</t>
  </si>
  <si>
    <t>All the prices are full, including taxes and fees</t>
  </si>
  <si>
    <t>Country of Assembly</t>
  </si>
  <si>
    <t>Platinum</t>
  </si>
  <si>
    <t>Raptor</t>
  </si>
  <si>
    <t>F-250</t>
  </si>
  <si>
    <t>Mustang</t>
  </si>
  <si>
    <t>GT V8 AT/ GT Premium Fastback</t>
  </si>
  <si>
    <t>RAM</t>
  </si>
  <si>
    <t>Limited</t>
  </si>
  <si>
    <t>JEEP</t>
  </si>
  <si>
    <t>Wrangler</t>
  </si>
  <si>
    <t>Sienna</t>
  </si>
  <si>
    <t>Etiquetas de fila</t>
  </si>
  <si>
    <t>Total general</t>
  </si>
  <si>
    <t>Complete name</t>
  </si>
  <si>
    <t>2023 Chevrolet Silverado / Cheyenne LT</t>
  </si>
  <si>
    <t>2023 Ford F-150 Platinum</t>
  </si>
  <si>
    <t>2023 Ford F-150 Raptor</t>
  </si>
  <si>
    <t>2024 RAM 1500 Limited</t>
  </si>
  <si>
    <t>LX 2WD</t>
  </si>
  <si>
    <t>This is the most unfair comparison, In canada all are AWD, MX and USA are 2WD</t>
  </si>
  <si>
    <t>General comments</t>
  </si>
  <si>
    <t>(Todas)</t>
  </si>
  <si>
    <t>The rows in blue are vehicles more oriented to export</t>
  </si>
  <si>
    <t>LE</t>
  </si>
  <si>
    <t>Tacoma</t>
  </si>
  <si>
    <t>SR 4x4</t>
  </si>
  <si>
    <t>México</t>
  </si>
  <si>
    <t>Cadillac</t>
  </si>
  <si>
    <t>Escalade</t>
  </si>
  <si>
    <t>SUV Premium Luxury</t>
  </si>
  <si>
    <t>Suburban</t>
  </si>
  <si>
    <t>GMC</t>
  </si>
  <si>
    <t>Yukon</t>
  </si>
  <si>
    <t>Denali</t>
  </si>
  <si>
    <t>$ MSRP MX Full</t>
  </si>
  <si>
    <t>$ MSRP USA Full</t>
  </si>
  <si>
    <t>$ MSRP CAD Lux Full</t>
  </si>
  <si>
    <t>XLT 4x2</t>
  </si>
  <si>
    <t>Super Duty XLT</t>
  </si>
  <si>
    <t>$ MSRP CAD - HST - Destination Fee - Luxury tax</t>
  </si>
  <si>
    <t>Ltd Tech/SEL/Preffered</t>
  </si>
  <si>
    <t>2023 Ford F-150 XLT 4x2</t>
  </si>
  <si>
    <t>2024 Ford F-250 Super Duty XLT</t>
  </si>
  <si>
    <t>$ MSRP USA - Destination Fee + Acquisition Fees</t>
  </si>
  <si>
    <t>$ MSRP MX - IVA - Promotions</t>
  </si>
  <si>
    <t>Suma de $ MSRP MX - IVA - Promotions</t>
  </si>
  <si>
    <t>Suma de $ MSRP USA - Destination Fee + Acquisition Fees</t>
  </si>
  <si>
    <t>Suma de $ MSRP CAD - HST - Destination Fee - Luxury tax</t>
  </si>
  <si>
    <t>Suma de $ MSRP MX Full</t>
  </si>
  <si>
    <t>Suma de $ MSRP USA Full</t>
  </si>
  <si>
    <t>Suma de $ MSRP CAD Lux Full</t>
  </si>
  <si>
    <t>2023 KIA Rio 5door HB</t>
  </si>
  <si>
    <t>2024 Ford Mustang GT V8 AT/ GT Premium Fastback</t>
  </si>
  <si>
    <t>2024 Honda CR-V LX 2WD</t>
  </si>
  <si>
    <t>2024 Nissan Versa Sense CVT</t>
  </si>
  <si>
    <t>2024 Toyota Rav4 LE FWD GAS</t>
  </si>
  <si>
    <t>2023 Hyundai Tucson Ltd Tech/SEL/Preffered</t>
  </si>
  <si>
    <t>No discounts</t>
  </si>
  <si>
    <t>160000 paying cash</t>
  </si>
  <si>
    <t>98000 cash</t>
  </si>
  <si>
    <t>Rubicon 2 door</t>
  </si>
  <si>
    <t>Promotions</t>
  </si>
  <si>
    <t>2024 JEEP Wrangler Rubicon 2 door</t>
  </si>
  <si>
    <t>2023 Chevrolet Suburban LT</t>
  </si>
  <si>
    <t>2024 GMC Yukon Denali</t>
  </si>
  <si>
    <t>2024 Cadillac Escalade SUV Premium Luxury</t>
  </si>
  <si>
    <t>TYPE</t>
  </si>
  <si>
    <t>USA</t>
  </si>
  <si>
    <t>CANADA</t>
  </si>
  <si>
    <t>Ex. Rate 27/03/2024 4:48PM</t>
  </si>
  <si>
    <t>PRICE w/o TAX MXN</t>
  </si>
  <si>
    <t>PRICE w/o TAX USA</t>
  </si>
  <si>
    <t>PRICE w/o TAX CAD</t>
  </si>
  <si>
    <t>TRUCK</t>
  </si>
  <si>
    <t>COUNTRY OF ORIGIN</t>
  </si>
  <si>
    <t>MX</t>
  </si>
  <si>
    <t>SEDAN</t>
  </si>
  <si>
    <t>VEHICLE</t>
  </si>
  <si>
    <t>2024 CHEVROLET SILVERADO/CHEYENNE LT</t>
  </si>
  <si>
    <t>2024 GMC SIERRA DENALI</t>
  </si>
  <si>
    <t>2024 GMC YUKON DENALI</t>
  </si>
  <si>
    <t>2024 MAZDA MAZDA3 i/S/GX</t>
  </si>
  <si>
    <t>2024 RAM 1500 LIMITED</t>
  </si>
  <si>
    <t>2024 TOYOTA TACOMA SR 4X4</t>
  </si>
  <si>
    <t>https://www.motorpasion.com.mx/pruebas-de-coches/volkswagen-jetta-2019-opiniones-prueba-mexico</t>
  </si>
  <si>
    <t>Volkswagen Tiguan versión R-line se presenta en México (motorpasion.com.mx)</t>
  </si>
  <si>
    <t>Hyundai Tucson 2019: Precios, versiones y equipamiento en México (motorpasion.com.mx)</t>
  </si>
  <si>
    <t>Hyundai Elantra 2019: Precios, versiones y equipamiento en México (motorpasion.com.mx)</t>
  </si>
  <si>
    <t>KIA Forte 2019, lanzamiento en México: Opiniones, precios y características (motorpasion.com.mx)</t>
  </si>
  <si>
    <t>Mazda 3 2019: Precios, versiones y equipamiento en México (motorpasion.com.mx)</t>
  </si>
  <si>
    <t>Price in Mexico</t>
  </si>
  <si>
    <t>Price in USA</t>
  </si>
  <si>
    <t>Price in Canada</t>
  </si>
  <si>
    <t>2024 VW JETTA TRENDLINE</t>
  </si>
  <si>
    <t>2019 VW JETTA TRENDLINE</t>
  </si>
  <si>
    <t>2024 VW TIGUAN R-LINE</t>
  </si>
  <si>
    <t>2024 HYUNDAI ELANTRA GLS/SE/PREFFERED</t>
  </si>
  <si>
    <t>2024 HYUNDAI TUCSON GLS/SE/PREFFERED</t>
  </si>
  <si>
    <t>2024 KIA FORTE 2.0MPI EX / LXS</t>
  </si>
  <si>
    <t>2019 HYUNDAI ELANTRA GLS</t>
  </si>
  <si>
    <t>2019 HYUNDAI TUCSON GLS</t>
  </si>
  <si>
    <t>2019 KIA FORTE 2.0MPI EX</t>
  </si>
  <si>
    <t>2024 AUDI A3 sedán</t>
  </si>
  <si>
    <t>2024 BMW X1 Xdrive</t>
  </si>
  <si>
    <t>2019 AUDI A3 sedán</t>
  </si>
  <si>
    <t>2019 BMW X1 Xdrive</t>
  </si>
  <si>
    <t>2024 CHEVROLET TRAX LS</t>
  </si>
  <si>
    <t>2024 CHEVROLET TAHOE LT</t>
  </si>
  <si>
    <t>2019 CHEVROLET TRAX LS</t>
  </si>
  <si>
    <t>2019 CHEVROLET TAHOE LT</t>
  </si>
  <si>
    <t>2024 FORD MUSTANG ECOBOOST PREMIUM</t>
  </si>
  <si>
    <t>2019 FORD MUSTANG ECOBOOST PREMIUM</t>
  </si>
  <si>
    <t>2019 GMC YUKON DENALI</t>
  </si>
  <si>
    <t>2019 FORD F-150 PLATINUM</t>
  </si>
  <si>
    <t>2019 GMC SIERRA DENALI</t>
  </si>
  <si>
    <t>Honda CR-V 2019 ya llegó a México - Motores MX</t>
  </si>
  <si>
    <t>2024 HONDA CR-V TURBO/LX 2WD</t>
  </si>
  <si>
    <t>2024 HONDA CIVIC i-Style</t>
  </si>
  <si>
    <t>2019 HONDA CR-V TURBO/LX 2WD</t>
  </si>
  <si>
    <t>Honda Civic 2019: Precios, versiones y equipamiento en México (motorpasion.com.mx)</t>
  </si>
  <si>
    <t>2024 KIA SPORTAGE LX</t>
  </si>
  <si>
    <t>2019 HONDA CIVIC EX MT</t>
  </si>
  <si>
    <t>2019 CHEVROLET CHEYENNE RST</t>
  </si>
  <si>
    <t>2019 KIA SPORTAGE LX</t>
  </si>
  <si>
    <t>2024 KIA SOUL EX / LX</t>
  </si>
  <si>
    <t>KIA Soul EX Pack, a prueba: Opiniones, características y precios (motorpasion.com.mx)</t>
  </si>
  <si>
    <t>2024 MAZDA CX-30 i-Sport/S/GX</t>
  </si>
  <si>
    <t>2019 KIA SOUL EX</t>
  </si>
  <si>
    <t>2024 NISSAN VERSA Sense CVT</t>
  </si>
  <si>
    <t>2019 RAM 1500 LIMITED</t>
  </si>
  <si>
    <t>RAM 1500 Limited 2019 llega a México desde $1,099,900 pesos (autocosmos.com.mx)</t>
  </si>
  <si>
    <t>Toyota RAV4 2019: Precios, versiones y equipamiento en México (motorpasion.com.mx)</t>
  </si>
  <si>
    <t>2024 TOYOTA COROLLA LE</t>
  </si>
  <si>
    <t>2024 TOYOTA SIENNA LE HEV</t>
  </si>
  <si>
    <t>2019 TOYOTA COROLLA LE</t>
  </si>
  <si>
    <t>2019 TOYOTA TACOMA SR 4X4</t>
  </si>
  <si>
    <t>2024 NISSAN SENTRA Sense CVT</t>
  </si>
  <si>
    <t>2019 NISSAN VERSA Sense CVT</t>
  </si>
  <si>
    <t>2019 NISSAN SENTRA Sense CVT</t>
  </si>
  <si>
    <t>2019 NISSAN FRONTIER V6 Pro-4X</t>
  </si>
  <si>
    <t>2024 FORD BRONCO BIG BEND</t>
  </si>
  <si>
    <t>2024 MERCEDES GLB 250 4MATIC MH</t>
  </si>
  <si>
    <t>2024 NISSAN FRONTIER V6 Pro-4X</t>
  </si>
  <si>
    <t>Vehicle</t>
  </si>
  <si>
    <t>% compared MX to USA</t>
  </si>
  <si>
    <t>% compared MX to Canada</t>
  </si>
  <si>
    <t>2020 MAZDA3 i</t>
  </si>
  <si>
    <t>2024 TOYOTA RAV4 XLE</t>
  </si>
  <si>
    <t xml:space="preserve">                                 2019 AUDI A3 sedán</t>
  </si>
  <si>
    <t xml:space="preserve">                                 2019 BMW X1 Xdrive</t>
  </si>
  <si>
    <t xml:space="preserve">       2019 CHEVROLET CHEYENNE RST</t>
  </si>
  <si>
    <t>2024 FORD F-150 PLATINUM</t>
  </si>
  <si>
    <t>2020 MERCEDES GLB 250 4MATIC Progressive</t>
  </si>
  <si>
    <t>Some references</t>
  </si>
  <si>
    <t xml:space="preserve">2020 MAZDA CX-30 </t>
  </si>
  <si>
    <t>2019 TOYOTA RAV4 XLE</t>
  </si>
  <si>
    <t>2021 FORD BRONCO BIG BEND</t>
  </si>
  <si>
    <t>2022 FORD MAVERICK LARIAT</t>
  </si>
  <si>
    <t>2024 FORD MAVERICK LARIAT</t>
  </si>
  <si>
    <t>2019 TOYOTA SIENNA LE</t>
  </si>
  <si>
    <t>PRICE USA in USD</t>
  </si>
  <si>
    <t>PRICE CAN in CAD</t>
  </si>
  <si>
    <t>FULL PRICE CAD 15% TAX</t>
  </si>
  <si>
    <t>FULL PRICE USA IN MXN</t>
  </si>
  <si>
    <t>FULL PRICE CAD IN MXN</t>
  </si>
  <si>
    <t>FULL PRICE USA 6% TAX</t>
  </si>
  <si>
    <t>FULL PRICE MX IN MXN 16% TAX</t>
  </si>
  <si>
    <t>2020 VW TIGUAN R-LINE</t>
  </si>
  <si>
    <t>2019</t>
  </si>
  <si>
    <t>2020</t>
  </si>
  <si>
    <t>2021</t>
  </si>
  <si>
    <t>2022</t>
  </si>
  <si>
    <t>https://cars.usnews.com/cars-trucks/volkswagen/tiguan/2019/specs</t>
  </si>
  <si>
    <t>https://www.motorpasion.com.mx/industria/bmw-x1-2019-precios-versiones-equipamiento-mexico</t>
  </si>
  <si>
    <t>*You can change here the exchange rate</t>
  </si>
  <si>
    <t>*For all 2024 vehicles, the prices shown are sourced from the official brand website. These vehicles were configured to closely match the specifications of the Mexican model as a baseline.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</si>
</sst>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\+0.00%;\-0.00%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FordMotion"/>
    </font>
    <font>
      <sz val="11"/>
      <color theme="1"/>
      <name val="Calibri"/>
      <family val="2"/>
      <scheme val="minor"/>
    </font>
    <font>
      <sz val="10"/>
      <color rgb="FF262626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9E1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20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4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3" fontId="2" fillId="0" borderId="0" xfId="0" applyNumberFormat="1" applyFont="1"/>
    <xf numFmtId="0" fontId="2" fillId="0" borderId="0" xfId="0" applyFont="1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left" indent="1"/>
    </xf>
    <xf numFmtId="44" fontId="0" fillId="3" borderId="1" xfId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44" fontId="0" fillId="7" borderId="0" xfId="1" applyFont="1" applyFill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9" borderId="0" xfId="1" applyFont="1" applyFill="1" applyAlignment="1">
      <alignment horizontal="center" vertical="center"/>
    </xf>
    <xf numFmtId="0" fontId="5" fillId="0" borderId="0" xfId="2" applyAlignment="1">
      <alignment horizontal="center" vertical="center"/>
    </xf>
    <xf numFmtId="0" fontId="5" fillId="0" borderId="0" xfId="2"/>
    <xf numFmtId="44" fontId="0" fillId="0" borderId="0" xfId="1" applyFont="1" applyFill="1" applyAlignment="1">
      <alignment horizontal="center" vertical="center"/>
    </xf>
    <xf numFmtId="44" fontId="4" fillId="0" borderId="0" xfId="1" applyFont="1" applyFill="1" applyAlignment="1">
      <alignment horizontal="center" vertical="center"/>
    </xf>
    <xf numFmtId="164" fontId="0" fillId="0" borderId="0" xfId="1" applyNumberFormat="1" applyFont="1"/>
    <xf numFmtId="165" fontId="0" fillId="0" borderId="0" xfId="0" applyNumberFormat="1"/>
    <xf numFmtId="0" fontId="7" fillId="10" borderId="2" xfId="0" applyFont="1" applyFill="1" applyBorder="1" applyAlignment="1">
      <alignment horizontal="center" readingOrder="1"/>
    </xf>
    <xf numFmtId="0" fontId="8" fillId="0" borderId="3" xfId="0" applyFont="1" applyBorder="1" applyAlignment="1">
      <alignment horizontal="center" readingOrder="1"/>
    </xf>
    <xf numFmtId="6" fontId="8" fillId="0" borderId="3" xfId="0" applyNumberFormat="1" applyFont="1" applyBorder="1" applyAlignment="1">
      <alignment horizontal="center" readingOrder="1"/>
    </xf>
    <xf numFmtId="10" fontId="8" fillId="0" borderId="3" xfId="0" applyNumberFormat="1" applyFont="1" applyBorder="1" applyAlignment="1">
      <alignment horizontal="center" readingOrder="1"/>
    </xf>
    <xf numFmtId="0" fontId="8" fillId="0" borderId="0" xfId="0" applyFont="1" applyAlignment="1">
      <alignment horizontal="center" readingOrder="1"/>
    </xf>
    <xf numFmtId="6" fontId="8" fillId="0" borderId="0" xfId="0" applyNumberFormat="1" applyFont="1" applyAlignment="1">
      <alignment horizontal="center" readingOrder="1"/>
    </xf>
    <xf numFmtId="10" fontId="8" fillId="0" borderId="0" xfId="0" applyNumberFormat="1" applyFont="1" applyAlignment="1">
      <alignment horizontal="center" readingOrder="1"/>
    </xf>
    <xf numFmtId="0" fontId="0" fillId="0" borderId="0" xfId="0" applyAlignment="1">
      <alignment horizontal="center" vertical="center"/>
    </xf>
    <xf numFmtId="0" fontId="5" fillId="0" borderId="0" xfId="2" applyAlignment="1">
      <alignment horizontal="left" vertical="center"/>
    </xf>
    <xf numFmtId="0" fontId="0" fillId="0" borderId="0" xfId="0" pivotButton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0">
    <cellStyle name="Comma_Book2" xfId="4" xr:uid="{CA0D9AAD-CCB9-46E2-9C1C-AB4E9D34F9F4}"/>
    <cellStyle name="Hipervínculo" xfId="2" builtinId="8"/>
    <cellStyle name="Millares 2" xfId="8" xr:uid="{9ED6ED26-649C-4CE5-B3A4-6D20356D551D}"/>
    <cellStyle name="Moneda" xfId="1" builtinId="4"/>
    <cellStyle name="Moneda 2" xfId="12" xr:uid="{1D0C5760-1C1E-4CA1-B07B-ABBD9877C4C7}"/>
    <cellStyle name="Moneda 3" xfId="17" xr:uid="{EC7ACE0C-D8BF-40C0-B7B3-E2608A4FD91D}"/>
    <cellStyle name="Moneda 4" xfId="11" xr:uid="{7E25D175-3B05-4E09-96FE-51CE24469692}"/>
    <cellStyle name="Normal" xfId="0" builtinId="0"/>
    <cellStyle name="Normal 10" xfId="3" xr:uid="{1F32CB86-E0DA-4BA8-BE07-57C5CBB01BD3}"/>
    <cellStyle name="Normal 2" xfId="5" xr:uid="{22D6BC58-F6E3-4704-BB56-750C4A678176}"/>
    <cellStyle name="Normal 3" xfId="7" xr:uid="{59143F7B-B7DD-4AF5-B8AC-09951543F0EF}"/>
    <cellStyle name="Normal 4" xfId="6" xr:uid="{27B9C1B0-6EAF-4E7F-88EA-E8B34F2BFF3D}"/>
    <cellStyle name="Normal 4 2" xfId="16" xr:uid="{5D7B13DD-42C4-4306-A69D-4CAB2391FCBF}"/>
    <cellStyle name="Normal 5" xfId="10" xr:uid="{23F5A669-0EA3-4768-933B-C579E90C4630}"/>
    <cellStyle name="Normal 6" xfId="9" xr:uid="{D981531D-7EFE-4CA6-948F-39CFAAEE6ACE}"/>
    <cellStyle name="Normal 7" xfId="13" xr:uid="{25980FE2-2F46-4F57-BA7E-A4A953D2A1F6}"/>
    <cellStyle name="Normal 8" xfId="15" xr:uid="{A34214FB-7CC8-47E1-BEC0-A0914BB9D6EF}"/>
    <cellStyle name="Normal 9" xfId="14" xr:uid="{FAF746D4-6EB4-4E78-B6E6-B20479ED6668}"/>
    <cellStyle name="Porcentaje 2" xfId="18" xr:uid="{51B2DCEB-E3ED-419B-8D94-E2B872B55190}"/>
    <cellStyle name="Porcentaje 3" xfId="19" xr:uid="{603364EA-9D60-4C4C-9FCA-2E8527F31E5D}"/>
  </cellStyles>
  <dxfs count="224"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_-&quot;$&quot;* #,##0_-;\-&quot;$&quot;* #,##0_-;_-&quot;$&quot;* &quot;-&quot;??_-;_-@_-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</dxfs>
  <tableStyles count="0" defaultTableStyle="TableStyleMedium2" defaultPivotStyle="PivotStyleLight16"/>
  <colors>
    <mruColors>
      <color rgb="FFEC1D23"/>
      <color rgb="FF71C055"/>
      <color rgb="FF436FB6"/>
      <color rgb="FF0061A9"/>
      <color rgb="FF7FCC32"/>
      <color rgb="FFFF1D0B"/>
      <color rgb="FFCB3234"/>
      <color rgb="FF9FE855"/>
      <color rgb="FFFF0000"/>
      <color rgb="FF386F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.xlsx]Analysis 1!TablaDinámica1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Difference in Price between México, USA &amp; Canada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Full price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>
                <c:manualLayout>
                  <c:w val="6.5614929370958128E-2"/>
                  <c:h val="0.14155235871941127"/>
                </c:manualLayout>
              </c15:layout>
            </c:ext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'Analysis 1'!$V$8</c:f>
              <c:strCache>
                <c:ptCount val="1"/>
                <c:pt idx="0">
                  <c:v>Suma de $ MSRP MX Full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1'!$U$9:$U$25</c:f>
              <c:strCache>
                <c:ptCount val="16"/>
                <c:pt idx="0">
                  <c:v>2024 Nissan Versa Sense CVT</c:v>
                </c:pt>
                <c:pt idx="1">
                  <c:v>2023 KIA Rio 5door HB</c:v>
                </c:pt>
                <c:pt idx="2">
                  <c:v>2024 Toyota Rav4 LE FWD GAS</c:v>
                </c:pt>
                <c:pt idx="3">
                  <c:v>2024 Honda CR-V LX 2WD</c:v>
                </c:pt>
                <c:pt idx="4">
                  <c:v>2023 Hyundai Tucson Ltd Tech/SEL/Preffered</c:v>
                </c:pt>
                <c:pt idx="5">
                  <c:v>2023 Chevrolet Silverado / Cheyenne LT</c:v>
                </c:pt>
                <c:pt idx="6">
                  <c:v>2023 Ford F-150 XLT 4x2</c:v>
                </c:pt>
                <c:pt idx="7">
                  <c:v>2024 Ford Mustang GT V8 AT/ GT Premium Fastback</c:v>
                </c:pt>
                <c:pt idx="8">
                  <c:v>2024 Ford F-250 Super Duty XLT</c:v>
                </c:pt>
                <c:pt idx="9">
                  <c:v>2024 JEEP Wrangler Rubicon 2 door</c:v>
                </c:pt>
                <c:pt idx="10">
                  <c:v>2024 RAM 1500 Limited</c:v>
                </c:pt>
                <c:pt idx="11">
                  <c:v>2023 Ford F-150 Platinum</c:v>
                </c:pt>
                <c:pt idx="12">
                  <c:v>2023 Chevrolet Suburban LT</c:v>
                </c:pt>
                <c:pt idx="13">
                  <c:v>2023 Ford F-150 Raptor</c:v>
                </c:pt>
                <c:pt idx="14">
                  <c:v>2024 GMC Yukon Denali</c:v>
                </c:pt>
                <c:pt idx="15">
                  <c:v>2024 Cadillac Escalade SUV Premium Luxury</c:v>
                </c:pt>
              </c:strCache>
            </c:strRef>
          </c:cat>
          <c:val>
            <c:numRef>
              <c:f>'Analysis 1'!$V$9:$V$25</c:f>
              <c:numCache>
                <c:formatCode>_-"$"* #,##0_-;\-"$"* #,##0_-;_-"$"* "-"??_-;_-@_-</c:formatCode>
                <c:ptCount val="16"/>
                <c:pt idx="0">
                  <c:v>351900</c:v>
                </c:pt>
                <c:pt idx="1">
                  <c:v>537900</c:v>
                </c:pt>
                <c:pt idx="2">
                  <c:v>562800</c:v>
                </c:pt>
                <c:pt idx="3">
                  <c:v>739900</c:v>
                </c:pt>
                <c:pt idx="4">
                  <c:v>744400</c:v>
                </c:pt>
                <c:pt idx="5">
                  <c:v>1046400</c:v>
                </c:pt>
                <c:pt idx="6">
                  <c:v>1238000</c:v>
                </c:pt>
                <c:pt idx="7">
                  <c:v>1288000</c:v>
                </c:pt>
                <c:pt idx="8">
                  <c:v>1475000</c:v>
                </c:pt>
                <c:pt idx="9">
                  <c:v>1478900</c:v>
                </c:pt>
                <c:pt idx="10">
                  <c:v>1559900</c:v>
                </c:pt>
                <c:pt idx="11">
                  <c:v>1632000</c:v>
                </c:pt>
                <c:pt idx="12">
                  <c:v>1656600</c:v>
                </c:pt>
                <c:pt idx="13">
                  <c:v>2130000</c:v>
                </c:pt>
                <c:pt idx="14">
                  <c:v>2173900</c:v>
                </c:pt>
                <c:pt idx="15">
                  <c:v>2631400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'Analysis 1'!$W$8</c:f>
              <c:strCache>
                <c:ptCount val="1"/>
                <c:pt idx="0">
                  <c:v>Suma de $ MSRP USA Full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2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1'!$U$9:$U$25</c:f>
              <c:strCache>
                <c:ptCount val="16"/>
                <c:pt idx="0">
                  <c:v>2024 Nissan Versa Sense CVT</c:v>
                </c:pt>
                <c:pt idx="1">
                  <c:v>2023 KIA Rio 5door HB</c:v>
                </c:pt>
                <c:pt idx="2">
                  <c:v>2024 Toyota Rav4 LE FWD GAS</c:v>
                </c:pt>
                <c:pt idx="3">
                  <c:v>2024 Honda CR-V LX 2WD</c:v>
                </c:pt>
                <c:pt idx="4">
                  <c:v>2023 Hyundai Tucson Ltd Tech/SEL/Preffered</c:v>
                </c:pt>
                <c:pt idx="5">
                  <c:v>2023 Chevrolet Silverado / Cheyenne LT</c:v>
                </c:pt>
                <c:pt idx="6">
                  <c:v>2023 Ford F-150 XLT 4x2</c:v>
                </c:pt>
                <c:pt idx="7">
                  <c:v>2024 Ford Mustang GT V8 AT/ GT Premium Fastback</c:v>
                </c:pt>
                <c:pt idx="8">
                  <c:v>2024 Ford F-250 Super Duty XLT</c:v>
                </c:pt>
                <c:pt idx="9">
                  <c:v>2024 JEEP Wrangler Rubicon 2 door</c:v>
                </c:pt>
                <c:pt idx="10">
                  <c:v>2024 RAM 1500 Limited</c:v>
                </c:pt>
                <c:pt idx="11">
                  <c:v>2023 Ford F-150 Platinum</c:v>
                </c:pt>
                <c:pt idx="12">
                  <c:v>2023 Chevrolet Suburban LT</c:v>
                </c:pt>
                <c:pt idx="13">
                  <c:v>2023 Ford F-150 Raptor</c:v>
                </c:pt>
                <c:pt idx="14">
                  <c:v>2024 GMC Yukon Denali</c:v>
                </c:pt>
                <c:pt idx="15">
                  <c:v>2024 Cadillac Escalade SUV Premium Luxury</c:v>
                </c:pt>
              </c:strCache>
            </c:strRef>
          </c:cat>
          <c:val>
            <c:numRef>
              <c:f>'Analysis 1'!$W$9:$W$25</c:f>
              <c:numCache>
                <c:formatCode>_-"$"* #,##0_-;\-"$"* #,##0_-;_-"$"* "-"??_-;_-@_-</c:formatCode>
                <c:ptCount val="16"/>
                <c:pt idx="0">
                  <c:v>323904</c:v>
                </c:pt>
                <c:pt idx="1">
                  <c:v>317915.15000000002</c:v>
                </c:pt>
                <c:pt idx="2">
                  <c:v>508040.05000000005</c:v>
                </c:pt>
                <c:pt idx="3">
                  <c:v>550805.5</c:v>
                </c:pt>
                <c:pt idx="4">
                  <c:v>564891.95000000007</c:v>
                </c:pt>
                <c:pt idx="5">
                  <c:v>931898.8</c:v>
                </c:pt>
                <c:pt idx="6">
                  <c:v>889639.45000000007</c:v>
                </c:pt>
                <c:pt idx="7">
                  <c:v>931392.70000000007</c:v>
                </c:pt>
                <c:pt idx="8">
                  <c:v>1326403.75</c:v>
                </c:pt>
                <c:pt idx="9">
                  <c:v>998113.55</c:v>
                </c:pt>
                <c:pt idx="10">
                  <c:v>1294519.4500000002</c:v>
                </c:pt>
                <c:pt idx="11">
                  <c:v>1174911.1500000001</c:v>
                </c:pt>
                <c:pt idx="12">
                  <c:v>1196420.4000000001</c:v>
                </c:pt>
                <c:pt idx="13">
                  <c:v>1386798.35</c:v>
                </c:pt>
                <c:pt idx="14">
                  <c:v>1464653.4000000001</c:v>
                </c:pt>
                <c:pt idx="15">
                  <c:v>1755576.55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ser>
          <c:idx val="2"/>
          <c:order val="2"/>
          <c:tx>
            <c:strRef>
              <c:f>'Analysis 1'!$X$8</c:f>
              <c:strCache>
                <c:ptCount val="1"/>
                <c:pt idx="0">
                  <c:v>Suma de $ MSRP CAD Lux Full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4400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1'!$U$9:$U$25</c:f>
              <c:strCache>
                <c:ptCount val="16"/>
                <c:pt idx="0">
                  <c:v>2024 Nissan Versa Sense CVT</c:v>
                </c:pt>
                <c:pt idx="1">
                  <c:v>2023 KIA Rio 5door HB</c:v>
                </c:pt>
                <c:pt idx="2">
                  <c:v>2024 Toyota Rav4 LE FWD GAS</c:v>
                </c:pt>
                <c:pt idx="3">
                  <c:v>2024 Honda CR-V LX 2WD</c:v>
                </c:pt>
                <c:pt idx="4">
                  <c:v>2023 Hyundai Tucson Ltd Tech/SEL/Preffered</c:v>
                </c:pt>
                <c:pt idx="5">
                  <c:v>2023 Chevrolet Silverado / Cheyenne LT</c:v>
                </c:pt>
                <c:pt idx="6">
                  <c:v>2023 Ford F-150 XLT 4x2</c:v>
                </c:pt>
                <c:pt idx="7">
                  <c:v>2024 Ford Mustang GT V8 AT/ GT Premium Fastback</c:v>
                </c:pt>
                <c:pt idx="8">
                  <c:v>2024 Ford F-250 Super Duty XLT</c:v>
                </c:pt>
                <c:pt idx="9">
                  <c:v>2024 JEEP Wrangler Rubicon 2 door</c:v>
                </c:pt>
                <c:pt idx="10">
                  <c:v>2024 RAM 1500 Limited</c:v>
                </c:pt>
                <c:pt idx="11">
                  <c:v>2023 Ford F-150 Platinum</c:v>
                </c:pt>
                <c:pt idx="12">
                  <c:v>2023 Chevrolet Suburban LT</c:v>
                </c:pt>
                <c:pt idx="13">
                  <c:v>2023 Ford F-150 Raptor</c:v>
                </c:pt>
                <c:pt idx="14">
                  <c:v>2024 GMC Yukon Denali</c:v>
                </c:pt>
                <c:pt idx="15">
                  <c:v>2024 Cadillac Escalade SUV Premium Luxury</c:v>
                </c:pt>
              </c:strCache>
            </c:strRef>
          </c:cat>
          <c:val>
            <c:numRef>
              <c:f>'Analysis 1'!$X$9:$X$25</c:f>
              <c:numCache>
                <c:formatCode>_-"$"* #,##0_-;\-"$"* #,##0_-;_-"$"* "-"??_-;_-@_-</c:formatCode>
                <c:ptCount val="16"/>
                <c:pt idx="0">
                  <c:v>322885.57</c:v>
                </c:pt>
                <c:pt idx="1">
                  <c:v>250524.81999999998</c:v>
                </c:pt>
                <c:pt idx="2">
                  <c:v>512730.3566</c:v>
                </c:pt>
                <c:pt idx="3">
                  <c:v>504006.72</c:v>
                </c:pt>
                <c:pt idx="4">
                  <c:v>525736.99780000001</c:v>
                </c:pt>
                <c:pt idx="5">
                  <c:v>827719.2699999999</c:v>
                </c:pt>
                <c:pt idx="6">
                  <c:v>811004.25</c:v>
                </c:pt>
                <c:pt idx="7">
                  <c:v>802797.1</c:v>
                </c:pt>
                <c:pt idx="8">
                  <c:v>1127261.45</c:v>
                </c:pt>
                <c:pt idx="9">
                  <c:v>950901.7</c:v>
                </c:pt>
                <c:pt idx="10">
                  <c:v>1103116.1399999999</c:v>
                </c:pt>
                <c:pt idx="11">
                  <c:v>1217414.8</c:v>
                </c:pt>
                <c:pt idx="12">
                  <c:v>1141094.5699999998</c:v>
                </c:pt>
                <c:pt idx="13">
                  <c:v>1415689.52</c:v>
                </c:pt>
                <c:pt idx="14">
                  <c:v>1549058.8399999999</c:v>
                </c:pt>
                <c:pt idx="15">
                  <c:v>1780237.3399999999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6166591"/>
        <c:crosses val="autoZero"/>
        <c:auto val="1"/>
        <c:lblAlgn val="ctr"/>
        <c:lblOffset val="100"/>
        <c:noMultiLvlLbl val="0"/>
      </c:catAx>
      <c:valAx>
        <c:axId val="1656166591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Título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893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Vehicles!TablaDinámica7</c:name>
    <c:fmtId val="22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Vehicles'!$B$154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Vehicles'!$A$155:$A$157</c:f>
              <c:strCache>
                <c:ptCount val="2"/>
                <c:pt idx="0">
                  <c:v>2019 FORD MUSTANG ECOBOOST PREMIUM</c:v>
                </c:pt>
                <c:pt idx="1">
                  <c:v>2024 FORD MUSTANG ECOBOOST PREMIUM</c:v>
                </c:pt>
              </c:strCache>
            </c:strRef>
          </c:cat>
          <c:val>
            <c:numRef>
              <c:f>'Individual Vehicles'!$B$155:$B$157</c:f>
              <c:numCache>
                <c:formatCode>_-"$"* #,##0_-;\-"$"* #,##0_-;_-"$"* "-"??_-;_-@_-</c:formatCode>
                <c:ptCount val="2"/>
                <c:pt idx="0">
                  <c:v>662800</c:v>
                </c:pt>
                <c:pt idx="1">
                  <c:v>1008000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Vehicles'!$C$154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Vehicles'!$A$155:$A$157</c:f>
              <c:strCache>
                <c:ptCount val="2"/>
                <c:pt idx="0">
                  <c:v>2019 FORD MUSTANG ECOBOOST PREMIUM</c:v>
                </c:pt>
                <c:pt idx="1">
                  <c:v>2024 FORD MUSTANG ECOBOOST PREMIUM</c:v>
                </c:pt>
              </c:strCache>
            </c:strRef>
          </c:cat>
          <c:val>
            <c:numRef>
              <c:f>'Individual Vehicles'!$C$155:$C$157</c:f>
              <c:numCache>
                <c:formatCode>_-"$"* #,##0_-;\-"$"* #,##0_-;_-"$"* "-"??_-;_-@_-</c:formatCode>
                <c:ptCount val="2"/>
                <c:pt idx="0">
                  <c:v>482548.46399999998</c:v>
                </c:pt>
                <c:pt idx="1">
                  <c:v>701792.92799999996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Vehicles!TablaDinámica8</c:name>
    <c:fmtId val="23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Vehicles'!$B$179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Vehicles'!$A$180:$A$182</c:f>
              <c:strCache>
                <c:ptCount val="2"/>
                <c:pt idx="0">
                  <c:v>2019 GMC SIERRA DENALI</c:v>
                </c:pt>
                <c:pt idx="1">
                  <c:v>2024 GMC SIERRA DENALI</c:v>
                </c:pt>
              </c:strCache>
            </c:strRef>
          </c:cat>
          <c:val>
            <c:numRef>
              <c:f>'Individual Vehicles'!$B$180:$B$182</c:f>
              <c:numCache>
                <c:formatCode>_-"$"* #,##0_-;\-"$"* #,##0_-;_-"$"* "-"??_-;_-@_-</c:formatCode>
                <c:ptCount val="2"/>
                <c:pt idx="0">
                  <c:v>1226100</c:v>
                </c:pt>
                <c:pt idx="1">
                  <c:v>1739900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Vehicles'!$C$179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Vehicles'!$A$180:$A$182</c:f>
              <c:strCache>
                <c:ptCount val="2"/>
                <c:pt idx="0">
                  <c:v>2019 GMC SIERRA DENALI</c:v>
                </c:pt>
                <c:pt idx="1">
                  <c:v>2024 GMC SIERRA DENALI</c:v>
                </c:pt>
              </c:strCache>
            </c:strRef>
          </c:cat>
          <c:val>
            <c:numRef>
              <c:f>'Individual Vehicles'!$C$180:$C$182</c:f>
              <c:numCache>
                <c:formatCode>_-"$"* #,##0_-;\-"$"* #,##0_-;_-"$"* "-"??_-;_-@_-</c:formatCode>
                <c:ptCount val="2"/>
                <c:pt idx="0">
                  <c:v>1018108.7999999999</c:v>
                </c:pt>
                <c:pt idx="1">
                  <c:v>1398056.4719999998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Vehicles!TablaDinámica9</c:name>
    <c:fmtId val="24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Vehicles'!$B$204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Vehicles'!$A$205:$A$207</c:f>
              <c:strCache>
                <c:ptCount val="2"/>
                <c:pt idx="0">
                  <c:v>2019 GMC YUKON DENALI</c:v>
                </c:pt>
                <c:pt idx="1">
                  <c:v>2024 GMC YUKON DENALI</c:v>
                </c:pt>
              </c:strCache>
            </c:strRef>
          </c:cat>
          <c:val>
            <c:numRef>
              <c:f>'Individual Vehicles'!$B$205:$B$207</c:f>
              <c:numCache>
                <c:formatCode>_-"$"* #,##0_-;\-"$"* #,##0_-;_-"$"* "-"??_-;_-@_-</c:formatCode>
                <c:ptCount val="2"/>
                <c:pt idx="0">
                  <c:v>1357400</c:v>
                </c:pt>
                <c:pt idx="1">
                  <c:v>2173900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Vehicles'!$C$204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Vehicles'!$A$205:$A$207</c:f>
              <c:strCache>
                <c:ptCount val="2"/>
                <c:pt idx="0">
                  <c:v>2019 GMC YUKON DENALI</c:v>
                </c:pt>
                <c:pt idx="1">
                  <c:v>2024 GMC YUKON DENALI</c:v>
                </c:pt>
              </c:strCache>
            </c:strRef>
          </c:cat>
          <c:val>
            <c:numRef>
              <c:f>'Individual Vehicles'!$C$205:$C$207</c:f>
              <c:numCache>
                <c:formatCode>_-"$"* #,##0_-;\-"$"* #,##0_-;_-"$"* "-"??_-;_-@_-</c:formatCode>
                <c:ptCount val="2"/>
                <c:pt idx="0">
                  <c:v>1193557.0319999999</c:v>
                </c:pt>
                <c:pt idx="1">
                  <c:v>1577542.0320000001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Vehicles!TablaDinámica10</c:name>
    <c:fmtId val="25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Vehicles'!$B$229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Vehicles'!$A$230:$A$232</c:f>
              <c:strCache>
                <c:ptCount val="2"/>
                <c:pt idx="0">
                  <c:v>2019 HONDA CIVIC EX MT</c:v>
                </c:pt>
                <c:pt idx="1">
                  <c:v>2024 HONDA CIVIC i-Style</c:v>
                </c:pt>
              </c:strCache>
            </c:strRef>
          </c:cat>
          <c:val>
            <c:numRef>
              <c:f>'Individual Vehicles'!$B$230:$B$232</c:f>
              <c:numCache>
                <c:formatCode>_-"$"* #,##0_-;\-"$"* #,##0_-;_-"$"* "-"??_-;_-@_-</c:formatCode>
                <c:ptCount val="2"/>
                <c:pt idx="0">
                  <c:v>334900</c:v>
                </c:pt>
                <c:pt idx="1">
                  <c:v>550900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Vehicles'!$C$229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Vehicles'!$A$230:$A$232</c:f>
              <c:strCache>
                <c:ptCount val="2"/>
                <c:pt idx="0">
                  <c:v>2019 HONDA CIVIC EX MT</c:v>
                </c:pt>
                <c:pt idx="1">
                  <c:v>2024 HONDA CIVIC i-Style</c:v>
                </c:pt>
              </c:strCache>
            </c:strRef>
          </c:cat>
          <c:val>
            <c:numRef>
              <c:f>'Individual Vehicles'!$C$230:$C$232</c:f>
              <c:numCache>
                <c:formatCode>_-"$"* #,##0_-;\-"$"* #,##0_-;_-"$"* "-"??_-;_-@_-</c:formatCode>
                <c:ptCount val="2"/>
                <c:pt idx="0">
                  <c:v>425762.56800000003</c:v>
                </c:pt>
                <c:pt idx="1">
                  <c:v>439629.91199999995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Vehicles!TablaDinámica11</c:name>
    <c:fmtId val="26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Vehicles'!$B$254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Vehicles'!$A$255:$A$257</c:f>
              <c:strCache>
                <c:ptCount val="2"/>
                <c:pt idx="0">
                  <c:v>2019 HONDA CR-V TURBO/LX 2WD</c:v>
                </c:pt>
                <c:pt idx="1">
                  <c:v>2024 HONDA CR-V TURBO/LX 2WD</c:v>
                </c:pt>
              </c:strCache>
            </c:strRef>
          </c:cat>
          <c:val>
            <c:numRef>
              <c:f>'Individual Vehicles'!$B$255:$B$257</c:f>
              <c:numCache>
                <c:formatCode>_-"$"* #,##0_-;\-"$"* #,##0_-;_-"$"* "-"??_-;_-@_-</c:formatCode>
                <c:ptCount val="2"/>
                <c:pt idx="0">
                  <c:v>429900</c:v>
                </c:pt>
                <c:pt idx="1">
                  <c:v>739900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Vehicles'!$C$254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Vehicles'!$A$255:$A$257</c:f>
              <c:strCache>
                <c:ptCount val="2"/>
                <c:pt idx="0">
                  <c:v>2019 HONDA CR-V TURBO/LX 2WD</c:v>
                </c:pt>
                <c:pt idx="1">
                  <c:v>2024 HONDA CR-V TURBO/LX 2WD</c:v>
                </c:pt>
              </c:strCache>
            </c:strRef>
          </c:cat>
          <c:val>
            <c:numRef>
              <c:f>'Individual Vehicles'!$C$255:$C$257</c:f>
              <c:numCache>
                <c:formatCode>_-"$"* #,##0_-;\-"$"* #,##0_-;_-"$"* "-"??_-;_-@_-</c:formatCode>
                <c:ptCount val="2"/>
                <c:pt idx="0">
                  <c:v>448845.55199999997</c:v>
                </c:pt>
                <c:pt idx="1">
                  <c:v>573125.03999999992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Vehicles!TablaDinámica12</c:name>
    <c:fmtId val="27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Vehicles'!$B$279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Vehicles'!$A$280:$A$282</c:f>
              <c:strCache>
                <c:ptCount val="2"/>
                <c:pt idx="0">
                  <c:v>2019 HYUNDAI ELANTRA GLS</c:v>
                </c:pt>
                <c:pt idx="1">
                  <c:v>2024 HYUNDAI ELANTRA GLS/SE/PREFFERED</c:v>
                </c:pt>
              </c:strCache>
            </c:strRef>
          </c:cat>
          <c:val>
            <c:numRef>
              <c:f>'Individual Vehicles'!$B$280:$B$282</c:f>
              <c:numCache>
                <c:formatCode>_-"$"* #,##0_-;\-"$"* #,##0_-;_-"$"* "-"??_-;_-@_-</c:formatCode>
                <c:ptCount val="2"/>
                <c:pt idx="0">
                  <c:v>358620.04799999995</c:v>
                </c:pt>
                <c:pt idx="1">
                  <c:v>399783.24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Vehicles'!$C$279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Vehicles'!$A$280:$A$282</c:f>
              <c:strCache>
                <c:ptCount val="2"/>
                <c:pt idx="0">
                  <c:v>2019 HYUNDAI ELANTRA GLS</c:v>
                </c:pt>
                <c:pt idx="1">
                  <c:v>2024 HYUNDAI ELANTRA GLS/SE/PREFFERED</c:v>
                </c:pt>
              </c:strCache>
            </c:strRef>
          </c:cat>
          <c:val>
            <c:numRef>
              <c:f>'Individual Vehicles'!$C$280:$C$282</c:f>
              <c:numCache>
                <c:formatCode>_-"$"* #,##0_-;\-"$"* #,##0_-;_-"$"* "-"??_-;_-@_-</c:formatCode>
                <c:ptCount val="2"/>
                <c:pt idx="0">
                  <c:v>303900</c:v>
                </c:pt>
                <c:pt idx="1">
                  <c:v>502500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Vehicles!TablaDinámica13</c:name>
    <c:fmtId val="28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Vehicles'!$B$304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Vehicles'!$A$305:$A$307</c:f>
              <c:strCache>
                <c:ptCount val="2"/>
                <c:pt idx="0">
                  <c:v>2019 HYUNDAI TUCSON GLS</c:v>
                </c:pt>
                <c:pt idx="1">
                  <c:v>2024 HYUNDAI TUCSON GLS/SE/PREFFERED</c:v>
                </c:pt>
              </c:strCache>
            </c:strRef>
          </c:cat>
          <c:val>
            <c:numRef>
              <c:f>'Individual Vehicles'!$B$305:$B$307</c:f>
              <c:numCache>
                <c:formatCode>_-"$"* #,##0_-;\-"$"* #,##0_-;_-"$"* "-"??_-;_-@_-</c:formatCode>
                <c:ptCount val="2"/>
                <c:pt idx="0">
                  <c:v>392900</c:v>
                </c:pt>
                <c:pt idx="1">
                  <c:v>563100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Vehicles'!$C$304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Vehicles'!$A$305:$A$307</c:f>
              <c:strCache>
                <c:ptCount val="2"/>
                <c:pt idx="0">
                  <c:v>2019 HYUNDAI TUCSON GLS</c:v>
                </c:pt>
                <c:pt idx="1">
                  <c:v>2024 HYUNDAI TUCSON GLS/SE/PREFFERED</c:v>
                </c:pt>
              </c:strCache>
            </c:strRef>
          </c:cat>
          <c:val>
            <c:numRef>
              <c:f>'Individual Vehicles'!$C$305:$C$307</c:f>
              <c:numCache>
                <c:formatCode>_-"$"* #,##0_-;\-"$"* #,##0_-;_-"$"* "-"??_-;_-@_-</c:formatCode>
                <c:ptCount val="2"/>
                <c:pt idx="0">
                  <c:v>471226.39199999999</c:v>
                </c:pt>
                <c:pt idx="1">
                  <c:v>506860.19999999995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Vehicles!TablaDinámica14</c:name>
    <c:fmtId val="29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Vehicles'!$B$329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Vehicles'!$A$330:$A$332</c:f>
              <c:strCache>
                <c:ptCount val="2"/>
                <c:pt idx="0">
                  <c:v>2019 KIA FORTE 2.0MPI EX</c:v>
                </c:pt>
                <c:pt idx="1">
                  <c:v>2024 KIA FORTE 2.0MPI EX / LXS</c:v>
                </c:pt>
              </c:strCache>
            </c:strRef>
          </c:cat>
          <c:val>
            <c:numRef>
              <c:f>'Individual Vehicles'!$B$330:$B$332</c:f>
              <c:numCache>
                <c:formatCode>_-"$"* #,##0_-;\-"$"* #,##0_-;_-"$"* "-"??_-;_-@_-</c:formatCode>
                <c:ptCount val="2"/>
                <c:pt idx="0">
                  <c:v>332900</c:v>
                </c:pt>
                <c:pt idx="1">
                  <c:v>442900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Vehicles'!$C$329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Vehicles'!$A$330:$A$332</c:f>
              <c:strCache>
                <c:ptCount val="2"/>
                <c:pt idx="0">
                  <c:v>2019 KIA FORTE 2.0MPI EX</c:v>
                </c:pt>
                <c:pt idx="1">
                  <c:v>2024 KIA FORTE 2.0MPI EX / LXS</c:v>
                </c:pt>
              </c:strCache>
            </c:strRef>
          </c:cat>
          <c:val>
            <c:numRef>
              <c:f>'Individual Vehicles'!$C$330:$C$332</c:f>
              <c:numCache>
                <c:formatCode>_-"$"* #,##0_-;\-"$"* #,##0_-;_-"$"* "-"??_-;_-@_-</c:formatCode>
                <c:ptCount val="2"/>
                <c:pt idx="0">
                  <c:v>386003.66399999999</c:v>
                </c:pt>
                <c:pt idx="1">
                  <c:v>379947.67199999996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Vehicles!TablaDinámica15</c:name>
    <c:fmtId val="30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Vehicles'!$B$354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Vehicles'!$A$355:$A$357</c:f>
              <c:strCache>
                <c:ptCount val="2"/>
                <c:pt idx="0">
                  <c:v>2019 KIA SOUL EX</c:v>
                </c:pt>
                <c:pt idx="1">
                  <c:v>2024 KIA SOUL EX / LX</c:v>
                </c:pt>
              </c:strCache>
            </c:strRef>
          </c:cat>
          <c:val>
            <c:numRef>
              <c:f>'Individual Vehicles'!$B$355:$B$357</c:f>
              <c:numCache>
                <c:formatCode>_-"$"* #,##0_-;\-"$"* #,##0_-;_-"$"* "-"??_-;_-@_-</c:formatCode>
                <c:ptCount val="2"/>
                <c:pt idx="0">
                  <c:v>355000</c:v>
                </c:pt>
                <c:pt idx="1">
                  <c:v>416900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Vehicles'!$C$354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Vehicles'!$A$355:$A$357</c:f>
              <c:strCache>
                <c:ptCount val="2"/>
                <c:pt idx="0">
                  <c:v>2019 KIA SOUL EX</c:v>
                </c:pt>
                <c:pt idx="1">
                  <c:v>2024 KIA SOUL EX / LX</c:v>
                </c:pt>
              </c:strCache>
            </c:strRef>
          </c:cat>
          <c:val>
            <c:numRef>
              <c:f>'Individual Vehicles'!$C$355:$C$357</c:f>
              <c:numCache>
                <c:formatCode>_-"$"* #,##0_-;\-"$"* #,##0_-;_-"$"* "-"??_-;_-@_-</c:formatCode>
                <c:ptCount val="2"/>
                <c:pt idx="0">
                  <c:v>595944.72</c:v>
                </c:pt>
                <c:pt idx="1">
                  <c:v>378543.38400000002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Vehicles!TablaDinámica16</c:name>
    <c:fmtId val="31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Vehicles'!$B$379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Vehicles'!$A$380:$A$382</c:f>
              <c:strCache>
                <c:ptCount val="2"/>
                <c:pt idx="0">
                  <c:v>2019 KIA SPORTAGE LX</c:v>
                </c:pt>
                <c:pt idx="1">
                  <c:v>2024 KIA SPORTAGE LX</c:v>
                </c:pt>
              </c:strCache>
            </c:strRef>
          </c:cat>
          <c:val>
            <c:numRef>
              <c:f>'Individual Vehicles'!$B$380:$B$382</c:f>
              <c:numCache>
                <c:formatCode>_-"$"* #,##0_-;\-"$"* #,##0_-;_-"$"* "-"??_-;_-@_-</c:formatCode>
                <c:ptCount val="2"/>
                <c:pt idx="0">
                  <c:v>372400</c:v>
                </c:pt>
                <c:pt idx="1">
                  <c:v>692900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Vehicles'!$C$379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Vehicles'!$A$380:$A$382</c:f>
              <c:strCache>
                <c:ptCount val="2"/>
                <c:pt idx="0">
                  <c:v>2019 KIA SPORTAGE LX</c:v>
                </c:pt>
                <c:pt idx="1">
                  <c:v>2024 KIA SPORTAGE LX</c:v>
                </c:pt>
              </c:strCache>
            </c:strRef>
          </c:cat>
          <c:val>
            <c:numRef>
              <c:f>'Individual Vehicles'!$C$380:$C$382</c:f>
              <c:numCache>
                <c:formatCode>_-"$"* #,##0_-;\-"$"* #,##0_-;_-"$"* "-"??_-;_-@_-</c:formatCode>
                <c:ptCount val="2"/>
                <c:pt idx="0">
                  <c:v>416897.99999999994</c:v>
                </c:pt>
                <c:pt idx="1">
                  <c:v>501418.58399999997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.xlsx]Analysis 1!TablaDinámica3</c:name>
    <c:fmtId val="5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Título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9.2388957716469308E-2"/>
          <c:y val="0.17863837992277698"/>
          <c:w val="0.90117236343283313"/>
          <c:h val="0.73077492202156813"/>
        </c:manualLayout>
      </c:layout>
      <c:lineChart>
        <c:grouping val="standard"/>
        <c:varyColors val="0"/>
        <c:ser>
          <c:idx val="0"/>
          <c:order val="0"/>
          <c:tx>
            <c:strRef>
              <c:f>'Analysis 1'!$AA$8</c:f>
              <c:strCache>
                <c:ptCount val="1"/>
                <c:pt idx="0">
                  <c:v>Suma de $ MSRP MX - IVA - Promotions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'Analysis 1'!$Z$9:$Z$41</c:f>
              <c:multiLvlStrCache>
                <c:ptCount val="16"/>
                <c:lvl>
                  <c:pt idx="0">
                    <c:v>Sedán</c:v>
                  </c:pt>
                  <c:pt idx="1">
                    <c:v>Sedán</c:v>
                  </c:pt>
                  <c:pt idx="2">
                    <c:v>SUV</c:v>
                  </c:pt>
                  <c:pt idx="3">
                    <c:v>SUV</c:v>
                  </c:pt>
                  <c:pt idx="4">
                    <c:v>SUV</c:v>
                  </c:pt>
                  <c:pt idx="5">
                    <c:v>Pick-up</c:v>
                  </c:pt>
                  <c:pt idx="6">
                    <c:v>Pick-up</c:v>
                  </c:pt>
                  <c:pt idx="7">
                    <c:v>Sedán</c:v>
                  </c:pt>
                  <c:pt idx="8">
                    <c:v>Pick-up</c:v>
                  </c:pt>
                  <c:pt idx="9">
                    <c:v>SUV</c:v>
                  </c:pt>
                  <c:pt idx="10">
                    <c:v>Pick-up</c:v>
                  </c:pt>
                  <c:pt idx="11">
                    <c:v>SUV</c:v>
                  </c:pt>
                  <c:pt idx="12">
                    <c:v>Pick-up</c:v>
                  </c:pt>
                  <c:pt idx="13">
                    <c:v>Pick-up</c:v>
                  </c:pt>
                  <c:pt idx="14">
                    <c:v>SUV</c:v>
                  </c:pt>
                  <c:pt idx="15">
                    <c:v>SUV</c:v>
                  </c:pt>
                </c:lvl>
                <c:lvl>
                  <c:pt idx="0">
                    <c:v>2024 Nissan Versa Sense CVT</c:v>
                  </c:pt>
                  <c:pt idx="1">
                    <c:v>2023 KIA Rio 5door HB</c:v>
                  </c:pt>
                  <c:pt idx="2">
                    <c:v>2024 Toyota Rav4 LE FWD GAS</c:v>
                  </c:pt>
                  <c:pt idx="3">
                    <c:v>2024 Honda CR-V LX 2WD</c:v>
                  </c:pt>
                  <c:pt idx="4">
                    <c:v>2023 Hyundai Tucson Ltd Tech/SEL/Preffered</c:v>
                  </c:pt>
                  <c:pt idx="5">
                    <c:v>2023 Chevrolet Silverado / Cheyenne LT</c:v>
                  </c:pt>
                  <c:pt idx="6">
                    <c:v>2023 Ford F-150 XLT 4x2</c:v>
                  </c:pt>
                  <c:pt idx="7">
                    <c:v>2024 Ford Mustang GT V8 AT/ GT Premium Fastback</c:v>
                  </c:pt>
                  <c:pt idx="8">
                    <c:v>2023 Ford F-150 Platinum</c:v>
                  </c:pt>
                  <c:pt idx="9">
                    <c:v>2023 Chevrolet Suburban LT</c:v>
                  </c:pt>
                  <c:pt idx="10">
                    <c:v>2024 Ford F-250 Super Duty XLT</c:v>
                  </c:pt>
                  <c:pt idx="11">
                    <c:v>2024 JEEP Wrangler Rubicon 2 door</c:v>
                  </c:pt>
                  <c:pt idx="12">
                    <c:v>2024 RAM 1500 Limited</c:v>
                  </c:pt>
                  <c:pt idx="13">
                    <c:v>2023 Ford F-150 Raptor</c:v>
                  </c:pt>
                  <c:pt idx="14">
                    <c:v>2024 GMC Yukon Denali</c:v>
                  </c:pt>
                  <c:pt idx="15">
                    <c:v>2024 Cadillac Escalade SUV Premium Luxury</c:v>
                  </c:pt>
                </c:lvl>
              </c:multiLvlStrCache>
            </c:multiLvlStrRef>
          </c:cat>
          <c:val>
            <c:numRef>
              <c:f>'Analysis 1'!$AA$9:$AA$41</c:f>
              <c:numCache>
                <c:formatCode>_-"$"* #,##0_-;\-"$"* #,##0_-;_-"$"* "-"??_-;_-@_-</c:formatCode>
                <c:ptCount val="16"/>
                <c:pt idx="0">
                  <c:v>303362.06896551728</c:v>
                </c:pt>
                <c:pt idx="1">
                  <c:v>463706.89655172417</c:v>
                </c:pt>
                <c:pt idx="2">
                  <c:v>485172.41379310348</c:v>
                </c:pt>
                <c:pt idx="3">
                  <c:v>637844.82758620696</c:v>
                </c:pt>
                <c:pt idx="4">
                  <c:v>641724.13793103455</c:v>
                </c:pt>
                <c:pt idx="5">
                  <c:v>902068.96551724139</c:v>
                </c:pt>
                <c:pt idx="6">
                  <c:v>969241.37931034481</c:v>
                </c:pt>
                <c:pt idx="7">
                  <c:v>1110344.8275862071</c:v>
                </c:pt>
                <c:pt idx="8">
                  <c:v>1116896.551724138</c:v>
                </c:pt>
                <c:pt idx="9">
                  <c:v>1268103.4482758623</c:v>
                </c:pt>
                <c:pt idx="10">
                  <c:v>1271551.7241379311</c:v>
                </c:pt>
                <c:pt idx="11">
                  <c:v>1274913.7931034483</c:v>
                </c:pt>
                <c:pt idx="12">
                  <c:v>1344741.3793103448</c:v>
                </c:pt>
                <c:pt idx="13">
                  <c:v>1826206.8965517243</c:v>
                </c:pt>
                <c:pt idx="14">
                  <c:v>1874051.7241379311</c:v>
                </c:pt>
                <c:pt idx="15">
                  <c:v>2268448.2758620693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'Analysis 1'!$AB$8</c:f>
              <c:strCache>
                <c:ptCount val="1"/>
                <c:pt idx="0">
                  <c:v>Suma de $ MSRP USA - Destination Fee + Acquisition Fees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2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'Analysis 1'!$Z$9:$Z$41</c:f>
              <c:multiLvlStrCache>
                <c:ptCount val="16"/>
                <c:lvl>
                  <c:pt idx="0">
                    <c:v>Sedán</c:v>
                  </c:pt>
                  <c:pt idx="1">
                    <c:v>Sedán</c:v>
                  </c:pt>
                  <c:pt idx="2">
                    <c:v>SUV</c:v>
                  </c:pt>
                  <c:pt idx="3">
                    <c:v>SUV</c:v>
                  </c:pt>
                  <c:pt idx="4">
                    <c:v>SUV</c:v>
                  </c:pt>
                  <c:pt idx="5">
                    <c:v>Pick-up</c:v>
                  </c:pt>
                  <c:pt idx="6">
                    <c:v>Pick-up</c:v>
                  </c:pt>
                  <c:pt idx="7">
                    <c:v>Sedán</c:v>
                  </c:pt>
                  <c:pt idx="8">
                    <c:v>Pick-up</c:v>
                  </c:pt>
                  <c:pt idx="9">
                    <c:v>SUV</c:v>
                  </c:pt>
                  <c:pt idx="10">
                    <c:v>Pick-up</c:v>
                  </c:pt>
                  <c:pt idx="11">
                    <c:v>SUV</c:v>
                  </c:pt>
                  <c:pt idx="12">
                    <c:v>Pick-up</c:v>
                  </c:pt>
                  <c:pt idx="13">
                    <c:v>Pick-up</c:v>
                  </c:pt>
                  <c:pt idx="14">
                    <c:v>SUV</c:v>
                  </c:pt>
                  <c:pt idx="15">
                    <c:v>SUV</c:v>
                  </c:pt>
                </c:lvl>
                <c:lvl>
                  <c:pt idx="0">
                    <c:v>2024 Nissan Versa Sense CVT</c:v>
                  </c:pt>
                  <c:pt idx="1">
                    <c:v>2023 KIA Rio 5door HB</c:v>
                  </c:pt>
                  <c:pt idx="2">
                    <c:v>2024 Toyota Rav4 LE FWD GAS</c:v>
                  </c:pt>
                  <c:pt idx="3">
                    <c:v>2024 Honda CR-V LX 2WD</c:v>
                  </c:pt>
                  <c:pt idx="4">
                    <c:v>2023 Hyundai Tucson Ltd Tech/SEL/Preffered</c:v>
                  </c:pt>
                  <c:pt idx="5">
                    <c:v>2023 Chevrolet Silverado / Cheyenne LT</c:v>
                  </c:pt>
                  <c:pt idx="6">
                    <c:v>2023 Ford F-150 XLT 4x2</c:v>
                  </c:pt>
                  <c:pt idx="7">
                    <c:v>2024 Ford Mustang GT V8 AT/ GT Premium Fastback</c:v>
                  </c:pt>
                  <c:pt idx="8">
                    <c:v>2023 Ford F-150 Platinum</c:v>
                  </c:pt>
                  <c:pt idx="9">
                    <c:v>2023 Chevrolet Suburban LT</c:v>
                  </c:pt>
                  <c:pt idx="10">
                    <c:v>2024 Ford F-250 Super Duty XLT</c:v>
                  </c:pt>
                  <c:pt idx="11">
                    <c:v>2024 JEEP Wrangler Rubicon 2 door</c:v>
                  </c:pt>
                  <c:pt idx="12">
                    <c:v>2024 RAM 1500 Limited</c:v>
                  </c:pt>
                  <c:pt idx="13">
                    <c:v>2023 Ford F-150 Raptor</c:v>
                  </c:pt>
                  <c:pt idx="14">
                    <c:v>2024 GMC Yukon Denali</c:v>
                  </c:pt>
                  <c:pt idx="15">
                    <c:v>2024 Cadillac Escalade SUV Premium Luxury</c:v>
                  </c:pt>
                </c:lvl>
              </c:multiLvlStrCache>
            </c:multiLvlStrRef>
          </c:cat>
          <c:val>
            <c:numRef>
              <c:f>'Analysis 1'!$AB$9:$AB$41</c:f>
              <c:numCache>
                <c:formatCode>_-"$"* #,##0_-;\-"$"* #,##0_-;_-"$"* "-"??_-;_-@_-</c:formatCode>
                <c:ptCount val="16"/>
                <c:pt idx="0">
                  <c:v>304672.2</c:v>
                </c:pt>
                <c:pt idx="1">
                  <c:v>298430.30000000005</c:v>
                </c:pt>
                <c:pt idx="2">
                  <c:v>485265.55000000005</c:v>
                </c:pt>
                <c:pt idx="3">
                  <c:v>528031</c:v>
                </c:pt>
                <c:pt idx="4">
                  <c:v>542370.50000000012</c:v>
                </c:pt>
                <c:pt idx="5">
                  <c:v>899930.15</c:v>
                </c:pt>
                <c:pt idx="6">
                  <c:v>845102.65</c:v>
                </c:pt>
                <c:pt idx="7">
                  <c:v>893603.9</c:v>
                </c:pt>
                <c:pt idx="8">
                  <c:v>1133410.9500000002</c:v>
                </c:pt>
                <c:pt idx="9">
                  <c:v>1164451.7500000002</c:v>
                </c:pt>
                <c:pt idx="10">
                  <c:v>1292748.1000000001</c:v>
                </c:pt>
                <c:pt idx="11">
                  <c:v>966144.9</c:v>
                </c:pt>
                <c:pt idx="12">
                  <c:v>1260863.8000000003</c:v>
                </c:pt>
                <c:pt idx="13">
                  <c:v>1342261.55</c:v>
                </c:pt>
                <c:pt idx="14">
                  <c:v>1430997.7500000002</c:v>
                </c:pt>
                <c:pt idx="15">
                  <c:v>1721920.9000000001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ser>
          <c:idx val="2"/>
          <c:order val="2"/>
          <c:tx>
            <c:strRef>
              <c:f>'Analysis 1'!$AC$8</c:f>
              <c:strCache>
                <c:ptCount val="1"/>
                <c:pt idx="0">
                  <c:v>Suma de $ MSRP CAD - HST - Destination Fee - Luxury tax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4400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'Analysis 1'!$Z$9:$Z$41</c:f>
              <c:multiLvlStrCache>
                <c:ptCount val="16"/>
                <c:lvl>
                  <c:pt idx="0">
                    <c:v>Sedán</c:v>
                  </c:pt>
                  <c:pt idx="1">
                    <c:v>Sedán</c:v>
                  </c:pt>
                  <c:pt idx="2">
                    <c:v>SUV</c:v>
                  </c:pt>
                  <c:pt idx="3">
                    <c:v>SUV</c:v>
                  </c:pt>
                  <c:pt idx="4">
                    <c:v>SUV</c:v>
                  </c:pt>
                  <c:pt idx="5">
                    <c:v>Pick-up</c:v>
                  </c:pt>
                  <c:pt idx="6">
                    <c:v>Pick-up</c:v>
                  </c:pt>
                  <c:pt idx="7">
                    <c:v>Sedán</c:v>
                  </c:pt>
                  <c:pt idx="8">
                    <c:v>Pick-up</c:v>
                  </c:pt>
                  <c:pt idx="9">
                    <c:v>SUV</c:v>
                  </c:pt>
                  <c:pt idx="10">
                    <c:v>Pick-up</c:v>
                  </c:pt>
                  <c:pt idx="11">
                    <c:v>SUV</c:v>
                  </c:pt>
                  <c:pt idx="12">
                    <c:v>Pick-up</c:v>
                  </c:pt>
                  <c:pt idx="13">
                    <c:v>Pick-up</c:v>
                  </c:pt>
                  <c:pt idx="14">
                    <c:v>SUV</c:v>
                  </c:pt>
                  <c:pt idx="15">
                    <c:v>SUV</c:v>
                  </c:pt>
                </c:lvl>
                <c:lvl>
                  <c:pt idx="0">
                    <c:v>2024 Nissan Versa Sense CVT</c:v>
                  </c:pt>
                  <c:pt idx="1">
                    <c:v>2023 KIA Rio 5door HB</c:v>
                  </c:pt>
                  <c:pt idx="2">
                    <c:v>2024 Toyota Rav4 LE FWD GAS</c:v>
                  </c:pt>
                  <c:pt idx="3">
                    <c:v>2024 Honda CR-V LX 2WD</c:v>
                  </c:pt>
                  <c:pt idx="4">
                    <c:v>2023 Hyundai Tucson Ltd Tech/SEL/Preffered</c:v>
                  </c:pt>
                  <c:pt idx="5">
                    <c:v>2023 Chevrolet Silverado / Cheyenne LT</c:v>
                  </c:pt>
                  <c:pt idx="6">
                    <c:v>2023 Ford F-150 XLT 4x2</c:v>
                  </c:pt>
                  <c:pt idx="7">
                    <c:v>2024 Ford Mustang GT V8 AT/ GT Premium Fastback</c:v>
                  </c:pt>
                  <c:pt idx="8">
                    <c:v>2023 Ford F-150 Platinum</c:v>
                  </c:pt>
                  <c:pt idx="9">
                    <c:v>2023 Chevrolet Suburban LT</c:v>
                  </c:pt>
                  <c:pt idx="10">
                    <c:v>2024 Ford F-250 Super Duty XLT</c:v>
                  </c:pt>
                  <c:pt idx="11">
                    <c:v>2024 JEEP Wrangler Rubicon 2 door</c:v>
                  </c:pt>
                  <c:pt idx="12">
                    <c:v>2024 RAM 1500 Limited</c:v>
                  </c:pt>
                  <c:pt idx="13">
                    <c:v>2023 Ford F-150 Raptor</c:v>
                  </c:pt>
                  <c:pt idx="14">
                    <c:v>2024 GMC Yukon Denali</c:v>
                  </c:pt>
                  <c:pt idx="15">
                    <c:v>2024 Cadillac Escalade SUV Premium Luxury</c:v>
                  </c:pt>
                </c:lvl>
              </c:multiLvlStrCache>
            </c:multiLvlStrRef>
          </c:cat>
          <c:val>
            <c:numRef>
              <c:f>'Analysis 1'!$AC$9:$AC$41</c:f>
              <c:numCache>
                <c:formatCode>_-"$"* #,##0_-;\-"$"* #,##0_-;_-"$"* "-"??_-;_-@_-</c:formatCode>
                <c:ptCount val="16"/>
                <c:pt idx="0">
                  <c:v>254333.94</c:v>
                </c:pt>
                <c:pt idx="1">
                  <c:v>219838.84999999998</c:v>
                </c:pt>
                <c:pt idx="2">
                  <c:v>415372.25660000002</c:v>
                </c:pt>
                <c:pt idx="3">
                  <c:v>477273.96499999997</c:v>
                </c:pt>
                <c:pt idx="4">
                  <c:v>492129.0318</c:v>
                </c:pt>
                <c:pt idx="5">
                  <c:v>791056.48999999987</c:v>
                </c:pt>
                <c:pt idx="6">
                  <c:v>780994.9</c:v>
                </c:pt>
                <c:pt idx="7">
                  <c:v>775293.75</c:v>
                </c:pt>
                <c:pt idx="8">
                  <c:v>1187405.45</c:v>
                </c:pt>
                <c:pt idx="9">
                  <c:v>1104431.7899999998</c:v>
                </c:pt>
                <c:pt idx="10">
                  <c:v>1097252.0999999999</c:v>
                </c:pt>
                <c:pt idx="11">
                  <c:v>817775.46199999994</c:v>
                </c:pt>
                <c:pt idx="12">
                  <c:v>976538.07999999984</c:v>
                </c:pt>
                <c:pt idx="13">
                  <c:v>1358565.25</c:v>
                </c:pt>
                <c:pt idx="14">
                  <c:v>1461737.2699999998</c:v>
                </c:pt>
                <c:pt idx="15">
                  <c:v>1653133.0199999998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6166591"/>
        <c:crosses val="autoZero"/>
        <c:auto val="1"/>
        <c:lblAlgn val="ctr"/>
        <c:lblOffset val="100"/>
        <c:noMultiLvlLbl val="0"/>
      </c:catAx>
      <c:valAx>
        <c:axId val="1656166591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Título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893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Vehicles!TablaDinámica17</c:name>
    <c:fmtId val="32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Vehicles'!$B$404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Vehicles'!$A$405:$A$407</c:f>
              <c:strCache>
                <c:ptCount val="2"/>
                <c:pt idx="0">
                  <c:v>2020 MAZDA CX-30 </c:v>
                </c:pt>
                <c:pt idx="1">
                  <c:v>2024 MAZDA CX-30 i-Sport/S/GX</c:v>
                </c:pt>
              </c:strCache>
            </c:strRef>
          </c:cat>
          <c:val>
            <c:numRef>
              <c:f>'Individual Vehicles'!$B$405:$B$407</c:f>
              <c:numCache>
                <c:formatCode>_-"$"* #,##0_-;\-"$"* #,##0_-;_-"$"* "-"??_-;_-@_-</c:formatCode>
                <c:ptCount val="2"/>
                <c:pt idx="0">
                  <c:v>438839.99999999994</c:v>
                </c:pt>
                <c:pt idx="1">
                  <c:v>462888.43199999997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Vehicles'!$C$404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Vehicles'!$A$405:$A$407</c:f>
              <c:strCache>
                <c:ptCount val="2"/>
                <c:pt idx="0">
                  <c:v>2020 MAZDA CX-30 </c:v>
                </c:pt>
                <c:pt idx="1">
                  <c:v>2024 MAZDA CX-30 i-Sport/S/GX</c:v>
                </c:pt>
              </c:strCache>
            </c:strRef>
          </c:cat>
          <c:val>
            <c:numRef>
              <c:f>'Individual Vehicles'!$C$405:$C$407</c:f>
              <c:numCache>
                <c:formatCode>_-"$"* #,##0_-;\-"$"* #,##0_-;_-"$"* "-"??_-;_-@_-</c:formatCode>
                <c:ptCount val="2"/>
                <c:pt idx="0">
                  <c:v>454900</c:v>
                </c:pt>
                <c:pt idx="1">
                  <c:v>459900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Vehicles!TablaDinámica20</c:name>
    <c:fmtId val="36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Vehicles'!$B$430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Vehicles'!$A$431:$A$433</c:f>
              <c:strCache>
                <c:ptCount val="2"/>
                <c:pt idx="0">
                  <c:v>2020 MAZDA3 i</c:v>
                </c:pt>
                <c:pt idx="1">
                  <c:v>2024 MAZDA MAZDA3 i/S/GX</c:v>
                </c:pt>
              </c:strCache>
            </c:strRef>
          </c:cat>
          <c:val>
            <c:numRef>
              <c:f>'Individual Vehicles'!$B$431:$B$433</c:f>
              <c:numCache>
                <c:formatCode>_-"$"* #,##0_-;\-"$"* #,##0_-;_-"$"* "-"??_-;_-@_-</c:formatCode>
                <c:ptCount val="2"/>
                <c:pt idx="0">
                  <c:v>392900</c:v>
                </c:pt>
                <c:pt idx="1">
                  <c:v>402900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Vehicles'!$C$430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Vehicles'!$A$431:$A$433</c:f>
              <c:strCache>
                <c:ptCount val="2"/>
                <c:pt idx="0">
                  <c:v>2020 MAZDA3 i</c:v>
                </c:pt>
                <c:pt idx="1">
                  <c:v>2024 MAZDA MAZDA3 i/S/GX</c:v>
                </c:pt>
              </c:strCache>
            </c:strRef>
          </c:cat>
          <c:val>
            <c:numRef>
              <c:f>'Individual Vehicles'!$C$431:$C$433</c:f>
              <c:numCache>
                <c:formatCode>_-"$"* #,##0_-;\-"$"* #,##0_-;_-"$"* "-"??_-;_-@_-</c:formatCode>
                <c:ptCount val="2"/>
                <c:pt idx="0">
                  <c:v>393990.55199999997</c:v>
                </c:pt>
                <c:pt idx="1">
                  <c:v>444720.45600000001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Vehicles!TablaDinámica21</c:name>
    <c:fmtId val="34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Vehicles'!$B$456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Vehicles'!$A$457:$A$459</c:f>
              <c:strCache>
                <c:ptCount val="2"/>
                <c:pt idx="0">
                  <c:v>2020 MERCEDES GLB 250 4MATIC Progressive</c:v>
                </c:pt>
                <c:pt idx="1">
                  <c:v>2024 MERCEDES GLB 250 4MATIC MH</c:v>
                </c:pt>
              </c:strCache>
            </c:strRef>
          </c:cat>
          <c:val>
            <c:numRef>
              <c:f>'Individual Vehicles'!$B$457:$B$459</c:f>
              <c:numCache>
                <c:formatCode>_-"$"* #,##0_-;\-"$"* #,##0_-;_-"$"* "-"??_-;_-@_-</c:formatCode>
                <c:ptCount val="2"/>
                <c:pt idx="0">
                  <c:v>859900</c:v>
                </c:pt>
                <c:pt idx="1">
                  <c:v>1135000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Vehicles'!$C$456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Vehicles'!$A$457:$A$459</c:f>
              <c:strCache>
                <c:ptCount val="2"/>
                <c:pt idx="0">
                  <c:v>2020 MERCEDES GLB 250 4MATIC Progressive</c:v>
                </c:pt>
                <c:pt idx="1">
                  <c:v>2024 MERCEDES GLB 250 4MATIC MH</c:v>
                </c:pt>
              </c:strCache>
            </c:strRef>
          </c:cat>
          <c:val>
            <c:numRef>
              <c:f>'Individual Vehicles'!$C$457:$C$459</c:f>
              <c:numCache>
                <c:formatCode>_-"$"* #,##0_-;\-"$"* #,##0_-;_-"$"* "-"??_-;_-@_-</c:formatCode>
                <c:ptCount val="2"/>
                <c:pt idx="0">
                  <c:v>695034.79200000002</c:v>
                </c:pt>
                <c:pt idx="1">
                  <c:v>907872.19200000004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Vehicles!TablaDinámica22</c:name>
    <c:fmtId val="35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Vehicles'!$B$481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Vehicles'!$A$482:$A$484</c:f>
              <c:strCache>
                <c:ptCount val="2"/>
                <c:pt idx="0">
                  <c:v>2019 NISSAN FRONTIER V6 Pro-4X</c:v>
                </c:pt>
                <c:pt idx="1">
                  <c:v>2024 NISSAN FRONTIER V6 Pro-4X</c:v>
                </c:pt>
              </c:strCache>
            </c:strRef>
          </c:cat>
          <c:val>
            <c:numRef>
              <c:f>'Individual Vehicles'!$B$482:$B$484</c:f>
              <c:numCache>
                <c:formatCode>_-"$"* #,##0_-;\-"$"* #,##0_-;_-"$"* "-"??_-;_-@_-</c:formatCode>
                <c:ptCount val="2"/>
                <c:pt idx="0">
                  <c:v>551900</c:v>
                </c:pt>
                <c:pt idx="1">
                  <c:v>1055900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Vehicles'!$C$481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Vehicles'!$A$482:$A$484</c:f>
              <c:strCache>
                <c:ptCount val="2"/>
                <c:pt idx="0">
                  <c:v>2019 NISSAN FRONTIER V6 Pro-4X</c:v>
                </c:pt>
                <c:pt idx="1">
                  <c:v>2024 NISSAN FRONTIER V6 Pro-4X</c:v>
                </c:pt>
              </c:strCache>
            </c:strRef>
          </c:cat>
          <c:val>
            <c:numRef>
              <c:f>'Individual Vehicles'!$C$482:$C$484</c:f>
              <c:numCache>
                <c:formatCode>_-"$"* #,##0_-;\-"$"* #,##0_-;_-"$"* "-"??_-;_-@_-</c:formatCode>
                <c:ptCount val="2"/>
                <c:pt idx="0">
                  <c:v>605160.36</c:v>
                </c:pt>
                <c:pt idx="1">
                  <c:v>720926.35200000007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Vehicles!TablaDinámica23</c:name>
    <c:fmtId val="36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Vehicles'!$B$506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Vehicles'!$A$507:$A$509</c:f>
              <c:strCache>
                <c:ptCount val="2"/>
                <c:pt idx="0">
                  <c:v>2019 NISSAN SENTRA Sense CVT</c:v>
                </c:pt>
                <c:pt idx="1">
                  <c:v>2024 NISSAN SENTRA Sense CVT</c:v>
                </c:pt>
              </c:strCache>
            </c:strRef>
          </c:cat>
          <c:val>
            <c:numRef>
              <c:f>'Individual Vehicles'!$B$507:$B$509</c:f>
              <c:numCache>
                <c:formatCode>_-"$"* #,##0_-;\-"$"* #,##0_-;_-"$"* "-"??_-;_-@_-</c:formatCode>
                <c:ptCount val="2"/>
                <c:pt idx="0">
                  <c:v>262800</c:v>
                </c:pt>
                <c:pt idx="1">
                  <c:v>423900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Vehicles'!$C$506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Vehicles'!$A$507:$A$509</c:f>
              <c:strCache>
                <c:ptCount val="2"/>
                <c:pt idx="0">
                  <c:v>2019 NISSAN SENTRA Sense CVT</c:v>
                </c:pt>
                <c:pt idx="1">
                  <c:v>2024 NISSAN SENTRA Sense CVT</c:v>
                </c:pt>
              </c:strCache>
            </c:strRef>
          </c:cat>
          <c:val>
            <c:numRef>
              <c:f>'Individual Vehicles'!$C$507:$C$509</c:f>
              <c:numCache>
                <c:formatCode>_-"$"* #,##0_-;\-"$"* #,##0_-;_-"$"* "-"??_-;_-@_-</c:formatCode>
                <c:ptCount val="2"/>
                <c:pt idx="0">
                  <c:v>332026.34399999998</c:v>
                </c:pt>
                <c:pt idx="1">
                  <c:v>386705.80800000002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Vehicles!TablaDinámica24</c:name>
    <c:fmtId val="40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Vehicles'!$B$531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Vehicles'!$A$532:$A$534</c:f>
              <c:strCache>
                <c:ptCount val="2"/>
                <c:pt idx="0">
                  <c:v>2019 NISSAN VERSA Sense CVT</c:v>
                </c:pt>
                <c:pt idx="1">
                  <c:v>2024 NISSAN VERSA Sense CVT</c:v>
                </c:pt>
              </c:strCache>
            </c:strRef>
          </c:cat>
          <c:val>
            <c:numRef>
              <c:f>'Individual Vehicles'!$B$532:$B$534</c:f>
              <c:numCache>
                <c:formatCode>_-"$"* #,##0_-;\-"$"* #,##0_-;_-"$"* "-"??_-;_-@_-</c:formatCode>
                <c:ptCount val="2"/>
                <c:pt idx="0">
                  <c:v>216800</c:v>
                </c:pt>
                <c:pt idx="1">
                  <c:v>356900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Vehicles'!$C$531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Vehicles'!$A$532:$A$534</c:f>
              <c:strCache>
                <c:ptCount val="2"/>
                <c:pt idx="0">
                  <c:v>2019 NISSAN VERSA Sense CVT</c:v>
                </c:pt>
                <c:pt idx="1">
                  <c:v>2024 NISSAN VERSA Sense CVT</c:v>
                </c:pt>
              </c:strCache>
            </c:strRef>
          </c:cat>
          <c:val>
            <c:numRef>
              <c:f>'Individual Vehicles'!$C$532:$C$534</c:f>
              <c:numCache>
                <c:formatCode>_-"$"* #,##0_-;\-"$"* #,##0_-;_-"$"* "-"??_-;_-@_-</c:formatCode>
                <c:ptCount val="2"/>
                <c:pt idx="0">
                  <c:v>234954.93599999999</c:v>
                </c:pt>
                <c:pt idx="1">
                  <c:v>337029.12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Vehicles!TablaDinámica25</c:name>
    <c:fmtId val="38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Vehicles'!$B$556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Vehicles'!$A$557:$A$559</c:f>
              <c:strCache>
                <c:ptCount val="2"/>
                <c:pt idx="0">
                  <c:v>2019 RAM 1500 LIMITED</c:v>
                </c:pt>
                <c:pt idx="1">
                  <c:v>2024 RAM 1500 LIMITED</c:v>
                </c:pt>
              </c:strCache>
            </c:strRef>
          </c:cat>
          <c:val>
            <c:numRef>
              <c:f>'Individual Vehicles'!$B$557:$B$559</c:f>
              <c:numCache>
                <c:formatCode>_-"$"* #,##0_-;\-"$"* #,##0_-;_-"$"* "-"??_-;_-@_-</c:formatCode>
                <c:ptCount val="2"/>
                <c:pt idx="0">
                  <c:v>1099900</c:v>
                </c:pt>
                <c:pt idx="1">
                  <c:v>1524900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Vehicles'!$C$556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Vehicles'!$A$557:$A$559</c:f>
              <c:strCache>
                <c:ptCount val="2"/>
                <c:pt idx="0">
                  <c:v>2019 RAM 1500 LIMITED</c:v>
                </c:pt>
                <c:pt idx="1">
                  <c:v>2024 RAM 1500 LIMITED</c:v>
                </c:pt>
              </c:strCache>
            </c:strRef>
          </c:cat>
          <c:val>
            <c:numRef>
              <c:f>'Individual Vehicles'!$C$557:$C$559</c:f>
              <c:numCache>
                <c:formatCode>_-"$"* #,##0_-;\-"$"* #,##0_-;_-"$"* "-"??_-;_-@_-</c:formatCode>
                <c:ptCount val="2"/>
                <c:pt idx="0">
                  <c:v>1000379.664</c:v>
                </c:pt>
                <c:pt idx="1">
                  <c:v>1303881.4080000001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Vehicles!TablaDinámica26</c:name>
    <c:fmtId val="39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Vehicles'!$B$581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Vehicles'!$A$582:$A$584</c:f>
              <c:strCache>
                <c:ptCount val="2"/>
                <c:pt idx="0">
                  <c:v>2019 TOYOTA COROLLA LE</c:v>
                </c:pt>
                <c:pt idx="1">
                  <c:v>2024 TOYOTA COROLLA LE</c:v>
                </c:pt>
              </c:strCache>
            </c:strRef>
          </c:cat>
          <c:val>
            <c:numRef>
              <c:f>'Individual Vehicles'!$B$582:$B$584</c:f>
              <c:numCache>
                <c:formatCode>_-"$"* #,##0_-;\-"$"* #,##0_-;_-"$"* "-"??_-;_-@_-</c:formatCode>
                <c:ptCount val="2"/>
                <c:pt idx="0">
                  <c:v>329900</c:v>
                </c:pt>
                <c:pt idx="1">
                  <c:v>449900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Vehicles'!$C$581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Vehicles'!$A$582:$A$584</c:f>
              <c:strCache>
                <c:ptCount val="2"/>
                <c:pt idx="0">
                  <c:v>2019 TOYOTA COROLLA LE</c:v>
                </c:pt>
                <c:pt idx="1">
                  <c:v>2024 TOYOTA COROLLA LE</c:v>
                </c:pt>
              </c:strCache>
            </c:strRef>
          </c:cat>
          <c:val>
            <c:numRef>
              <c:f>'Individual Vehicles'!$C$582:$C$584</c:f>
              <c:numCache>
                <c:formatCode>_-"$"* #,##0_-;\-"$"* #,##0_-;_-"$"* "-"??_-;_-@_-</c:formatCode>
                <c:ptCount val="2"/>
                <c:pt idx="0">
                  <c:v>352651.82400000002</c:v>
                </c:pt>
                <c:pt idx="1">
                  <c:v>406278.07199999999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Vehicles!TablaDinámica27</c:name>
    <c:fmtId val="40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Vehicles'!$B$606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Vehicles'!$A$607:$A$609</c:f>
              <c:strCache>
                <c:ptCount val="2"/>
                <c:pt idx="0">
                  <c:v>2019 TOYOTA SIENNA LE</c:v>
                </c:pt>
                <c:pt idx="1">
                  <c:v>2024 TOYOTA SIENNA LE HEV</c:v>
                </c:pt>
              </c:strCache>
            </c:strRef>
          </c:cat>
          <c:val>
            <c:numRef>
              <c:f>'Individual Vehicles'!$B$607:$B$609</c:f>
              <c:numCache>
                <c:formatCode>_-"$"* #,##0_-;\-"$"* #,##0_-;_-"$"* "-"??_-;_-@_-</c:formatCode>
                <c:ptCount val="2"/>
                <c:pt idx="0">
                  <c:v>558100</c:v>
                </c:pt>
                <c:pt idx="1">
                  <c:v>891600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Vehicles'!$C$606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Vehicles'!$A$607:$A$609</c:f>
              <c:strCache>
                <c:ptCount val="2"/>
                <c:pt idx="0">
                  <c:v>2019 TOYOTA SIENNA LE</c:v>
                </c:pt>
                <c:pt idx="1">
                  <c:v>2024 TOYOTA SIENNA LE HEV</c:v>
                </c:pt>
              </c:strCache>
            </c:strRef>
          </c:cat>
          <c:val>
            <c:numRef>
              <c:f>'Individual Vehicles'!$C$607:$C$609</c:f>
              <c:numCache>
                <c:formatCode>_-"$"* #,##0_-;\-"$"* #,##0_-;_-"$"* "-"??_-;_-@_-</c:formatCode>
                <c:ptCount val="2"/>
                <c:pt idx="0">
                  <c:v>618852.16799999995</c:v>
                </c:pt>
                <c:pt idx="1">
                  <c:v>687311.20799999998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Vehicles!TablaDinámica28</c:name>
    <c:fmtId val="41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Vehicles'!$B$631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Vehicles'!$A$632:$A$634</c:f>
              <c:strCache>
                <c:ptCount val="2"/>
                <c:pt idx="0">
                  <c:v>2019 TOYOTA TACOMA SR 4X4</c:v>
                </c:pt>
                <c:pt idx="1">
                  <c:v>2024 TOYOTA TACOMA SR 4X4</c:v>
                </c:pt>
              </c:strCache>
            </c:strRef>
          </c:cat>
          <c:val>
            <c:numRef>
              <c:f>'Individual Vehicles'!$B$632:$B$634</c:f>
              <c:numCache>
                <c:formatCode>_-"$"* #,##0_-;\-"$"* #,##0_-;_-"$"* "-"??_-;_-@_-</c:formatCode>
                <c:ptCount val="2"/>
                <c:pt idx="0">
                  <c:v>662800</c:v>
                </c:pt>
                <c:pt idx="1">
                  <c:v>839900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Vehicles'!$C$631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Vehicles'!$A$632:$A$634</c:f>
              <c:strCache>
                <c:ptCount val="2"/>
                <c:pt idx="0">
                  <c:v>2019 TOYOTA TACOMA SR 4X4</c:v>
                </c:pt>
                <c:pt idx="1">
                  <c:v>2024 TOYOTA TACOMA SR 4X4</c:v>
                </c:pt>
              </c:strCache>
            </c:strRef>
          </c:cat>
          <c:val>
            <c:numRef>
              <c:f>'Individual Vehicles'!$C$632:$C$634</c:f>
              <c:numCache>
                <c:formatCode>_-"$"* #,##0_-;\-"$"* #,##0_-;_-"$"* "-"??_-;_-@_-</c:formatCode>
                <c:ptCount val="2"/>
                <c:pt idx="0">
                  <c:v>473420.592</c:v>
                </c:pt>
                <c:pt idx="1">
                  <c:v>645884.71200000006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.xlsx]Data for analysis!TablaDinámica5</c:name>
    <c:fmtId val="0"/>
  </c:pivotSource>
  <c:chart>
    <c:autoTitleDeleted val="1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circle"/>
          <c:size val="5"/>
          <c:spPr>
            <a:solidFill>
              <a:srgbClr val="FF0000"/>
            </a:solidFill>
            <a:ln w="1587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>
              <a:lumMod val="40000"/>
              <a:lumOff val="60000"/>
            </a:schemeClr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bg2">
                <a:lumMod val="75000"/>
              </a:schemeClr>
            </a:solidFill>
            <a:ln w="12700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wrap="square" lIns="432000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2"/>
        <c:spPr>
          <a:solidFill>
            <a:schemeClr val="accent5">
              <a:lumMod val="40000"/>
              <a:lumOff val="60000"/>
            </a:schemeClr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chemeClr val="accent1">
                  <a:lumMod val="20000"/>
                  <a:lumOff val="8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wrap="square" lIns="360000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3"/>
        <c:spPr>
          <a:solidFill>
            <a:srgbClr val="C00000"/>
          </a:solidFill>
          <a:ln>
            <a:noFill/>
          </a:ln>
          <a:effectLst/>
        </c:spPr>
      </c:pivotFmt>
      <c:pivotFmt>
        <c:idx val="4"/>
        <c:spPr>
          <a:solidFill>
            <a:schemeClr val="accent5">
              <a:lumMod val="40000"/>
              <a:lumOff val="600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wrap="square" lIns="360000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solidFill>
            <a:srgbClr val="C81D11"/>
          </a:solidFill>
          <a:ln>
            <a:noFill/>
          </a:ln>
          <a:effectLst/>
        </c:spPr>
      </c:pivotFmt>
      <c:pivotFmt>
        <c:idx val="6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28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3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wrap="square" lIns="432000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8"/>
        <c:spPr>
          <a:solidFill>
            <a:schemeClr val="accent5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wrap="square" lIns="360000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9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wrap="square" lIns="360000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for analysis'!$C$71</c:f>
              <c:strCache>
                <c:ptCount val="1"/>
                <c:pt idx="0">
                  <c:v>Price in Mexico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analysis'!$B$72:$B$103</c:f>
              <c:strCache>
                <c:ptCount val="31"/>
                <c:pt idx="0">
                  <c:v>2024 NISSAN VERSA Sense CVT</c:v>
                </c:pt>
                <c:pt idx="1">
                  <c:v>2024 MAZDA MAZDA3 i/S/GX</c:v>
                </c:pt>
                <c:pt idx="2">
                  <c:v>2024 KIA SOUL EX / LX</c:v>
                </c:pt>
                <c:pt idx="3">
                  <c:v>2024 NISSAN SENTRA Sense CVT</c:v>
                </c:pt>
                <c:pt idx="4">
                  <c:v>2024 VW JETTA TRENDLINE</c:v>
                </c:pt>
                <c:pt idx="5">
                  <c:v>2024 KIA FORTE 2.0MPI EX / LXS</c:v>
                </c:pt>
                <c:pt idx="6">
                  <c:v>2024 TOYOTA COROLLA LE</c:v>
                </c:pt>
                <c:pt idx="7">
                  <c:v>2024 MAZDA CX-30 i-Sport/S/GX</c:v>
                </c:pt>
                <c:pt idx="8">
                  <c:v>2024 HYUNDAI ELANTRA GLS/SE/PREFFERED</c:v>
                </c:pt>
                <c:pt idx="9">
                  <c:v>2024 CHEVROLET TRAX LS</c:v>
                </c:pt>
                <c:pt idx="10">
                  <c:v>2024 HONDA CIVIC i-Style</c:v>
                </c:pt>
                <c:pt idx="11">
                  <c:v>2024 HYUNDAI TUCSON GLS/SE/PREFFERED</c:v>
                </c:pt>
                <c:pt idx="12">
                  <c:v>2024 TOYOTA RAV4 XLE</c:v>
                </c:pt>
                <c:pt idx="13">
                  <c:v>2024 KIA SPORTAGE LX</c:v>
                </c:pt>
                <c:pt idx="14">
                  <c:v>2024 AUDI A3 sedán</c:v>
                </c:pt>
                <c:pt idx="15">
                  <c:v>2024 HONDA CR-V TURBO/LX 2WD</c:v>
                </c:pt>
                <c:pt idx="16">
                  <c:v>2024 FORD BRONCO BIG BEND</c:v>
                </c:pt>
                <c:pt idx="17">
                  <c:v>2024 FORD MAVERICK LARIAT</c:v>
                </c:pt>
                <c:pt idx="18">
                  <c:v>2024 VW TIGUAN R-LINE</c:v>
                </c:pt>
                <c:pt idx="19">
                  <c:v>2024 TOYOTA TACOMA SR 4X4</c:v>
                </c:pt>
                <c:pt idx="20">
                  <c:v>2024 TOYOTA SIENNA LE HEV</c:v>
                </c:pt>
                <c:pt idx="21">
                  <c:v>2024 FORD MUSTANG ECOBOOST PREMIUM</c:v>
                </c:pt>
                <c:pt idx="22">
                  <c:v>2024 NISSAN FRONTIER V6 Pro-4X</c:v>
                </c:pt>
                <c:pt idx="23">
                  <c:v>2024 CHEVROLET SILVERADO/CHEYENNE LT</c:v>
                </c:pt>
                <c:pt idx="24">
                  <c:v>2024 MERCEDES GLB 250 4MATIC MH</c:v>
                </c:pt>
                <c:pt idx="25">
                  <c:v>2024 BMW X1 Xdrive</c:v>
                </c:pt>
                <c:pt idx="26">
                  <c:v>2024 RAM 1500 LIMITED</c:v>
                </c:pt>
                <c:pt idx="27">
                  <c:v>2024 FORD F-150 PLATINUM</c:v>
                </c:pt>
                <c:pt idx="28">
                  <c:v>2024 CHEVROLET TAHOE LT</c:v>
                </c:pt>
                <c:pt idx="29">
                  <c:v>2024 GMC SIERRA DENALI</c:v>
                </c:pt>
                <c:pt idx="30">
                  <c:v>2024 GMC YUKON DENALI</c:v>
                </c:pt>
              </c:strCache>
            </c:strRef>
          </c:cat>
          <c:val>
            <c:numRef>
              <c:f>'Data for analysis'!$C$72:$C$103</c:f>
              <c:numCache>
                <c:formatCode>_-"$"* #,##0_-;\-"$"* #,##0_-;_-"$"* "-"??_-;_-@_-</c:formatCode>
                <c:ptCount val="31"/>
                <c:pt idx="0">
                  <c:v>356900</c:v>
                </c:pt>
                <c:pt idx="1">
                  <c:v>402900</c:v>
                </c:pt>
                <c:pt idx="2">
                  <c:v>416900</c:v>
                </c:pt>
                <c:pt idx="3">
                  <c:v>423900</c:v>
                </c:pt>
                <c:pt idx="4">
                  <c:v>424770</c:v>
                </c:pt>
                <c:pt idx="5">
                  <c:v>442900</c:v>
                </c:pt>
                <c:pt idx="6">
                  <c:v>449900</c:v>
                </c:pt>
                <c:pt idx="7">
                  <c:v>459900</c:v>
                </c:pt>
                <c:pt idx="8">
                  <c:v>502500</c:v>
                </c:pt>
                <c:pt idx="9">
                  <c:v>507000</c:v>
                </c:pt>
                <c:pt idx="10">
                  <c:v>550900</c:v>
                </c:pt>
                <c:pt idx="11">
                  <c:v>563100</c:v>
                </c:pt>
                <c:pt idx="12">
                  <c:v>610900</c:v>
                </c:pt>
                <c:pt idx="13">
                  <c:v>692900</c:v>
                </c:pt>
                <c:pt idx="14">
                  <c:v>699900</c:v>
                </c:pt>
                <c:pt idx="15">
                  <c:v>739900</c:v>
                </c:pt>
                <c:pt idx="16">
                  <c:v>743000</c:v>
                </c:pt>
                <c:pt idx="17">
                  <c:v>802000</c:v>
                </c:pt>
                <c:pt idx="18">
                  <c:v>814070</c:v>
                </c:pt>
                <c:pt idx="19">
                  <c:v>839900</c:v>
                </c:pt>
                <c:pt idx="20">
                  <c:v>891600</c:v>
                </c:pt>
                <c:pt idx="21">
                  <c:v>1008000</c:v>
                </c:pt>
                <c:pt idx="22">
                  <c:v>1055900</c:v>
                </c:pt>
                <c:pt idx="23">
                  <c:v>1106400</c:v>
                </c:pt>
                <c:pt idx="24">
                  <c:v>1135000</c:v>
                </c:pt>
                <c:pt idx="25">
                  <c:v>1170000</c:v>
                </c:pt>
                <c:pt idx="26">
                  <c:v>1524900</c:v>
                </c:pt>
                <c:pt idx="27">
                  <c:v>1534900</c:v>
                </c:pt>
                <c:pt idx="28">
                  <c:v>1702600</c:v>
                </c:pt>
                <c:pt idx="29">
                  <c:v>1739900</c:v>
                </c:pt>
                <c:pt idx="30">
                  <c:v>2173900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0-48DE-B532-C7393FD6D30E}"/>
            </c:ext>
          </c:extLst>
        </c:ser>
        <c:ser>
          <c:idx val="1"/>
          <c:order val="1"/>
          <c:tx>
            <c:strRef>
              <c:f>'Data for analysis'!$D$71</c:f>
              <c:strCache>
                <c:ptCount val="1"/>
                <c:pt idx="0">
                  <c:v>Price in USA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lIns="432000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analysis'!$B$72:$B$103</c:f>
              <c:strCache>
                <c:ptCount val="31"/>
                <c:pt idx="0">
                  <c:v>2024 NISSAN VERSA Sense CVT</c:v>
                </c:pt>
                <c:pt idx="1">
                  <c:v>2024 MAZDA MAZDA3 i/S/GX</c:v>
                </c:pt>
                <c:pt idx="2">
                  <c:v>2024 KIA SOUL EX / LX</c:v>
                </c:pt>
                <c:pt idx="3">
                  <c:v>2024 NISSAN SENTRA Sense CVT</c:v>
                </c:pt>
                <c:pt idx="4">
                  <c:v>2024 VW JETTA TRENDLINE</c:v>
                </c:pt>
                <c:pt idx="5">
                  <c:v>2024 KIA FORTE 2.0MPI EX / LXS</c:v>
                </c:pt>
                <c:pt idx="6">
                  <c:v>2024 TOYOTA COROLLA LE</c:v>
                </c:pt>
                <c:pt idx="7">
                  <c:v>2024 MAZDA CX-30 i-Sport/S/GX</c:v>
                </c:pt>
                <c:pt idx="8">
                  <c:v>2024 HYUNDAI ELANTRA GLS/SE/PREFFERED</c:v>
                </c:pt>
                <c:pt idx="9">
                  <c:v>2024 CHEVROLET TRAX LS</c:v>
                </c:pt>
                <c:pt idx="10">
                  <c:v>2024 HONDA CIVIC i-Style</c:v>
                </c:pt>
                <c:pt idx="11">
                  <c:v>2024 HYUNDAI TUCSON GLS/SE/PREFFERED</c:v>
                </c:pt>
                <c:pt idx="12">
                  <c:v>2024 TOYOTA RAV4 XLE</c:v>
                </c:pt>
                <c:pt idx="13">
                  <c:v>2024 KIA SPORTAGE LX</c:v>
                </c:pt>
                <c:pt idx="14">
                  <c:v>2024 AUDI A3 sedán</c:v>
                </c:pt>
                <c:pt idx="15">
                  <c:v>2024 HONDA CR-V TURBO/LX 2WD</c:v>
                </c:pt>
                <c:pt idx="16">
                  <c:v>2024 FORD BRONCO BIG BEND</c:v>
                </c:pt>
                <c:pt idx="17">
                  <c:v>2024 FORD MAVERICK LARIAT</c:v>
                </c:pt>
                <c:pt idx="18">
                  <c:v>2024 VW TIGUAN R-LINE</c:v>
                </c:pt>
                <c:pt idx="19">
                  <c:v>2024 TOYOTA TACOMA SR 4X4</c:v>
                </c:pt>
                <c:pt idx="20">
                  <c:v>2024 TOYOTA SIENNA LE HEV</c:v>
                </c:pt>
                <c:pt idx="21">
                  <c:v>2024 FORD MUSTANG ECOBOOST PREMIUM</c:v>
                </c:pt>
                <c:pt idx="22">
                  <c:v>2024 NISSAN FRONTIER V6 Pro-4X</c:v>
                </c:pt>
                <c:pt idx="23">
                  <c:v>2024 CHEVROLET SILVERADO/CHEYENNE LT</c:v>
                </c:pt>
                <c:pt idx="24">
                  <c:v>2024 MERCEDES GLB 250 4MATIC MH</c:v>
                </c:pt>
                <c:pt idx="25">
                  <c:v>2024 BMW X1 Xdrive</c:v>
                </c:pt>
                <c:pt idx="26">
                  <c:v>2024 RAM 1500 LIMITED</c:v>
                </c:pt>
                <c:pt idx="27">
                  <c:v>2024 FORD F-150 PLATINUM</c:v>
                </c:pt>
                <c:pt idx="28">
                  <c:v>2024 CHEVROLET TAHOE LT</c:v>
                </c:pt>
                <c:pt idx="29">
                  <c:v>2024 GMC SIERRA DENALI</c:v>
                </c:pt>
                <c:pt idx="30">
                  <c:v>2024 GMC YUKON DENALI</c:v>
                </c:pt>
              </c:strCache>
            </c:strRef>
          </c:cat>
          <c:val>
            <c:numRef>
              <c:f>'Data for analysis'!$D$72:$D$103</c:f>
              <c:numCache>
                <c:formatCode>_-"$"* #,##0_-;\-"$"* #,##0_-;_-"$"* "-"??_-;_-@_-</c:formatCode>
                <c:ptCount val="31"/>
                <c:pt idx="0">
                  <c:v>337029.12</c:v>
                </c:pt>
                <c:pt idx="1">
                  <c:v>444720.45600000001</c:v>
                </c:pt>
                <c:pt idx="2">
                  <c:v>378543.38400000002</c:v>
                </c:pt>
                <c:pt idx="3">
                  <c:v>386705.80800000002</c:v>
                </c:pt>
                <c:pt idx="4">
                  <c:v>411807.45600000001</c:v>
                </c:pt>
                <c:pt idx="5">
                  <c:v>379947.67199999996</c:v>
                </c:pt>
                <c:pt idx="6">
                  <c:v>406278.07199999999</c:v>
                </c:pt>
                <c:pt idx="7">
                  <c:v>462888.43199999997</c:v>
                </c:pt>
                <c:pt idx="8">
                  <c:v>399783.24</c:v>
                </c:pt>
                <c:pt idx="9">
                  <c:v>401714.136</c:v>
                </c:pt>
                <c:pt idx="10">
                  <c:v>439629.91199999995</c:v>
                </c:pt>
                <c:pt idx="11">
                  <c:v>506860.19999999995</c:v>
                </c:pt>
                <c:pt idx="12">
                  <c:v>553552.77599999995</c:v>
                </c:pt>
                <c:pt idx="13">
                  <c:v>501418.58399999997</c:v>
                </c:pt>
                <c:pt idx="14">
                  <c:v>647640.07200000004</c:v>
                </c:pt>
                <c:pt idx="15">
                  <c:v>573125.03999999992</c:v>
                </c:pt>
                <c:pt idx="16">
                  <c:v>587518.99199999997</c:v>
                </c:pt>
                <c:pt idx="17">
                  <c:v>668616.62399999995</c:v>
                </c:pt>
                <c:pt idx="18">
                  <c:v>682483.96799999999</c:v>
                </c:pt>
                <c:pt idx="19">
                  <c:v>645884.71200000006</c:v>
                </c:pt>
                <c:pt idx="20">
                  <c:v>687311.20799999998</c:v>
                </c:pt>
                <c:pt idx="21">
                  <c:v>701792.92799999996</c:v>
                </c:pt>
                <c:pt idx="22">
                  <c:v>720926.35200000007</c:v>
                </c:pt>
                <c:pt idx="23">
                  <c:v>983089.36800000002</c:v>
                </c:pt>
                <c:pt idx="24">
                  <c:v>907872.19200000004</c:v>
                </c:pt>
                <c:pt idx="25">
                  <c:v>728386.63199999998</c:v>
                </c:pt>
                <c:pt idx="26">
                  <c:v>1303881.4080000001</c:v>
                </c:pt>
                <c:pt idx="27">
                  <c:v>1465901.1359999999</c:v>
                </c:pt>
                <c:pt idx="28">
                  <c:v>1184780.2319999998</c:v>
                </c:pt>
                <c:pt idx="29">
                  <c:v>1398056.4719999998</c:v>
                </c:pt>
                <c:pt idx="30">
                  <c:v>1577542.0320000001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0-48DE-B532-C7393FD6D30E}"/>
            </c:ext>
          </c:extLst>
        </c:ser>
        <c:ser>
          <c:idx val="2"/>
          <c:order val="2"/>
          <c:tx>
            <c:strRef>
              <c:f>'Data for analysis'!$E$71</c:f>
              <c:strCache>
                <c:ptCount val="1"/>
                <c:pt idx="0">
                  <c:v>Price in Canada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8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47-438A-AF55-57FE90143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lIns="360000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analysis'!$B$72:$B$103</c:f>
              <c:strCache>
                <c:ptCount val="31"/>
                <c:pt idx="0">
                  <c:v>2024 NISSAN VERSA Sense CVT</c:v>
                </c:pt>
                <c:pt idx="1">
                  <c:v>2024 MAZDA MAZDA3 i/S/GX</c:v>
                </c:pt>
                <c:pt idx="2">
                  <c:v>2024 KIA SOUL EX / LX</c:v>
                </c:pt>
                <c:pt idx="3">
                  <c:v>2024 NISSAN SENTRA Sense CVT</c:v>
                </c:pt>
                <c:pt idx="4">
                  <c:v>2024 VW JETTA TRENDLINE</c:v>
                </c:pt>
                <c:pt idx="5">
                  <c:v>2024 KIA FORTE 2.0MPI EX / LXS</c:v>
                </c:pt>
                <c:pt idx="6">
                  <c:v>2024 TOYOTA COROLLA LE</c:v>
                </c:pt>
                <c:pt idx="7">
                  <c:v>2024 MAZDA CX-30 i-Sport/S/GX</c:v>
                </c:pt>
                <c:pt idx="8">
                  <c:v>2024 HYUNDAI ELANTRA GLS/SE/PREFFERED</c:v>
                </c:pt>
                <c:pt idx="9">
                  <c:v>2024 CHEVROLET TRAX LS</c:v>
                </c:pt>
                <c:pt idx="10">
                  <c:v>2024 HONDA CIVIC i-Style</c:v>
                </c:pt>
                <c:pt idx="11">
                  <c:v>2024 HYUNDAI TUCSON GLS/SE/PREFFERED</c:v>
                </c:pt>
                <c:pt idx="12">
                  <c:v>2024 TOYOTA RAV4 XLE</c:v>
                </c:pt>
                <c:pt idx="13">
                  <c:v>2024 KIA SPORTAGE LX</c:v>
                </c:pt>
                <c:pt idx="14">
                  <c:v>2024 AUDI A3 sedán</c:v>
                </c:pt>
                <c:pt idx="15">
                  <c:v>2024 HONDA CR-V TURBO/LX 2WD</c:v>
                </c:pt>
                <c:pt idx="16">
                  <c:v>2024 FORD BRONCO BIG BEND</c:v>
                </c:pt>
                <c:pt idx="17">
                  <c:v>2024 FORD MAVERICK LARIAT</c:v>
                </c:pt>
                <c:pt idx="18">
                  <c:v>2024 VW TIGUAN R-LINE</c:v>
                </c:pt>
                <c:pt idx="19">
                  <c:v>2024 TOYOTA TACOMA SR 4X4</c:v>
                </c:pt>
                <c:pt idx="20">
                  <c:v>2024 TOYOTA SIENNA LE HEV</c:v>
                </c:pt>
                <c:pt idx="21">
                  <c:v>2024 FORD MUSTANG ECOBOOST PREMIUM</c:v>
                </c:pt>
                <c:pt idx="22">
                  <c:v>2024 NISSAN FRONTIER V6 Pro-4X</c:v>
                </c:pt>
                <c:pt idx="23">
                  <c:v>2024 CHEVROLET SILVERADO/CHEYENNE LT</c:v>
                </c:pt>
                <c:pt idx="24">
                  <c:v>2024 MERCEDES GLB 250 4MATIC MH</c:v>
                </c:pt>
                <c:pt idx="25">
                  <c:v>2024 BMW X1 Xdrive</c:v>
                </c:pt>
                <c:pt idx="26">
                  <c:v>2024 RAM 1500 LIMITED</c:v>
                </c:pt>
                <c:pt idx="27">
                  <c:v>2024 FORD F-150 PLATINUM</c:v>
                </c:pt>
                <c:pt idx="28">
                  <c:v>2024 CHEVROLET TAHOE LT</c:v>
                </c:pt>
                <c:pt idx="29">
                  <c:v>2024 GMC SIERRA DENALI</c:v>
                </c:pt>
                <c:pt idx="30">
                  <c:v>2024 GMC YUKON DENALI</c:v>
                </c:pt>
              </c:strCache>
            </c:strRef>
          </c:cat>
          <c:val>
            <c:numRef>
              <c:f>'Data for analysis'!$E$72:$E$103</c:f>
              <c:numCache>
                <c:formatCode>_-"$"* #,##0_-;\-"$"* #,##0_-;_-"$"* "-"??_-;_-@_-</c:formatCode>
                <c:ptCount val="31"/>
                <c:pt idx="0">
                  <c:v>322998.65999999997</c:v>
                </c:pt>
                <c:pt idx="1">
                  <c:v>377736.70499999996</c:v>
                </c:pt>
                <c:pt idx="2">
                  <c:v>356277.81999999995</c:v>
                </c:pt>
                <c:pt idx="3">
                  <c:v>380311.20999999996</c:v>
                </c:pt>
                <c:pt idx="4">
                  <c:v>386919.33999999997</c:v>
                </c:pt>
                <c:pt idx="5">
                  <c:v>355576.31999999995</c:v>
                </c:pt>
                <c:pt idx="6">
                  <c:v>384212.67239999998</c:v>
                </c:pt>
                <c:pt idx="7">
                  <c:v>458641.54179999995</c:v>
                </c:pt>
                <c:pt idx="8">
                  <c:v>372578.57549999992</c:v>
                </c:pt>
                <c:pt idx="9">
                  <c:v>363699.68999999994</c:v>
                </c:pt>
                <c:pt idx="10">
                  <c:v>403411.60499999992</c:v>
                </c:pt>
                <c:pt idx="11">
                  <c:v>520950.73599999986</c:v>
                </c:pt>
                <c:pt idx="12">
                  <c:v>560008.57239999995</c:v>
                </c:pt>
                <c:pt idx="13">
                  <c:v>466413.31999999995</c:v>
                </c:pt>
                <c:pt idx="14">
                  <c:v>621739.44999999984</c:v>
                </c:pt>
                <c:pt idx="15">
                  <c:v>564344.12299999991</c:v>
                </c:pt>
                <c:pt idx="16">
                  <c:v>577895.69999999984</c:v>
                </c:pt>
                <c:pt idx="17">
                  <c:v>656814.44999999984</c:v>
                </c:pt>
                <c:pt idx="18">
                  <c:v>676638.84</c:v>
                </c:pt>
                <c:pt idx="19">
                  <c:v>701711.57239999995</c:v>
                </c:pt>
                <c:pt idx="20">
                  <c:v>673651.57239999995</c:v>
                </c:pt>
                <c:pt idx="21">
                  <c:v>662566.74999999988</c:v>
                </c:pt>
                <c:pt idx="22">
                  <c:v>772183.1399999999</c:v>
                </c:pt>
                <c:pt idx="23">
                  <c:v>878207.85</c:v>
                </c:pt>
                <c:pt idx="24">
                  <c:v>845307.5</c:v>
                </c:pt>
                <c:pt idx="25">
                  <c:v>710409.04999999981</c:v>
                </c:pt>
                <c:pt idx="26">
                  <c:v>1210999.4499999997</c:v>
                </c:pt>
                <c:pt idx="27">
                  <c:v>1486927.4599999997</c:v>
                </c:pt>
                <c:pt idx="28">
                  <c:v>1233938.4999999998</c:v>
                </c:pt>
                <c:pt idx="29">
                  <c:v>1381113.1999999997</c:v>
                </c:pt>
                <c:pt idx="30">
                  <c:v>1665894.1399999997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0-48DE-B532-C7393FD6D3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24904992"/>
        <c:axId val="1788991952"/>
      </c:barChart>
      <c:catAx>
        <c:axId val="172490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8991952"/>
        <c:crosses val="autoZero"/>
        <c:auto val="1"/>
        <c:lblAlgn val="ctr"/>
        <c:lblOffset val="100"/>
        <c:noMultiLvlLbl val="0"/>
      </c:catAx>
      <c:valAx>
        <c:axId val="1788991952"/>
        <c:scaling>
          <c:orientation val="minMax"/>
          <c:min val="25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490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Vehicles!TablaDinámica29</c:name>
    <c:fmtId val="42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Título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Vehicles'!$B$656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Vehicles'!$A$657:$A$659</c:f>
              <c:strCache>
                <c:ptCount val="2"/>
                <c:pt idx="0">
                  <c:v>2019 VW JETTA TRENDLINE</c:v>
                </c:pt>
                <c:pt idx="1">
                  <c:v>2024 VW JETTA TRENDLINE</c:v>
                </c:pt>
              </c:strCache>
            </c:strRef>
          </c:cat>
          <c:val>
            <c:numRef>
              <c:f>'Individual Vehicles'!$B$657:$B$659</c:f>
              <c:numCache>
                <c:formatCode>_-"$"* #,##0_-;\-"$"* #,##0_-;_-"$"* "-"??_-;_-@_-</c:formatCode>
                <c:ptCount val="2"/>
                <c:pt idx="0">
                  <c:v>333270</c:v>
                </c:pt>
                <c:pt idx="1">
                  <c:v>424770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Vehicles'!$C$656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Vehicles'!$A$657:$A$659</c:f>
              <c:strCache>
                <c:ptCount val="2"/>
                <c:pt idx="0">
                  <c:v>2019 VW JETTA TRENDLINE</c:v>
                </c:pt>
                <c:pt idx="1">
                  <c:v>2024 VW JETTA TRENDLINE</c:v>
                </c:pt>
              </c:strCache>
            </c:strRef>
          </c:cat>
          <c:val>
            <c:numRef>
              <c:f>'Individual Vehicles'!$C$657:$C$659</c:f>
              <c:numCache>
                <c:formatCode>_-"$"* #,##0_-;\-"$"* #,##0_-;_-"$"* "-"??_-;_-@_-</c:formatCode>
                <c:ptCount val="2"/>
                <c:pt idx="0">
                  <c:v>344752.70399999997</c:v>
                </c:pt>
                <c:pt idx="1">
                  <c:v>411807.45600000001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Vehicles!TablaDinámica30</c:name>
    <c:fmtId val="44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Título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Vehicles'!$B$681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Vehicles'!$A$682:$A$684</c:f>
              <c:strCache>
                <c:ptCount val="2"/>
                <c:pt idx="0">
                  <c:v>2024 VW TIGUAN R-LINE</c:v>
                </c:pt>
                <c:pt idx="1">
                  <c:v>2020 VW TIGUAN R-LINE</c:v>
                </c:pt>
              </c:strCache>
            </c:strRef>
          </c:cat>
          <c:val>
            <c:numRef>
              <c:f>'Individual Vehicles'!$B$682:$B$684</c:f>
              <c:numCache>
                <c:formatCode>_-"$"* #,##0_-;\-"$"* #,##0_-;_-"$"* "-"??_-;_-@_-</c:formatCode>
                <c:ptCount val="2"/>
                <c:pt idx="0">
                  <c:v>814070</c:v>
                </c:pt>
                <c:pt idx="1">
                  <c:v>538990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Vehicles'!$C$681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Vehicles'!$A$682:$A$684</c:f>
              <c:strCache>
                <c:ptCount val="2"/>
                <c:pt idx="0">
                  <c:v>2024 VW TIGUAN R-LINE</c:v>
                </c:pt>
                <c:pt idx="1">
                  <c:v>2020 VW TIGUAN R-LINE</c:v>
                </c:pt>
              </c:strCache>
            </c:strRef>
          </c:cat>
          <c:val>
            <c:numRef>
              <c:f>'Individual Vehicles'!$C$682:$C$684</c:f>
              <c:numCache>
                <c:formatCode>_-"$"* #,##0_-;\-"$"* #,##0_-;_-"$"* "-"??_-;_-@_-</c:formatCode>
                <c:ptCount val="2"/>
                <c:pt idx="0">
                  <c:v>682483.96799999999</c:v>
                </c:pt>
                <c:pt idx="1">
                  <c:v>700651.94400000002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Vehicles!TablaDinámica18</c:name>
    <c:fmtId val="52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Vehicles'!$B$709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Vehicles'!$A$710:$A$712</c:f>
              <c:strCache>
                <c:ptCount val="2"/>
                <c:pt idx="0">
                  <c:v>2019 TOYOTA RAV4 XLE</c:v>
                </c:pt>
                <c:pt idx="1">
                  <c:v>2024 TOYOTA RAV4 XLE</c:v>
                </c:pt>
              </c:strCache>
            </c:strRef>
          </c:cat>
          <c:val>
            <c:numRef>
              <c:f>'Individual Vehicles'!$B$710:$B$712</c:f>
              <c:numCache>
                <c:formatCode>_-"$"* #,##0_-;\-"$"* #,##0_-;_-"$"* "-"??_-;_-@_-</c:formatCode>
                <c:ptCount val="2"/>
                <c:pt idx="0">
                  <c:v>459100</c:v>
                </c:pt>
                <c:pt idx="1">
                  <c:v>610900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Vehicles'!$C$709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Vehicles'!$A$710:$A$712</c:f>
              <c:strCache>
                <c:ptCount val="2"/>
                <c:pt idx="0">
                  <c:v>2019 TOYOTA RAV4 XLE</c:v>
                </c:pt>
                <c:pt idx="1">
                  <c:v>2024 TOYOTA RAV4 XLE</c:v>
                </c:pt>
              </c:strCache>
            </c:strRef>
          </c:cat>
          <c:val>
            <c:numRef>
              <c:f>'Individual Vehicles'!$C$710:$C$712</c:f>
              <c:numCache>
                <c:formatCode>_-"$"* #,##0_-;\-"$"* #,##0_-;_-"$"* "-"??_-;_-@_-</c:formatCode>
                <c:ptCount val="2"/>
                <c:pt idx="0">
                  <c:v>481846.31999999995</c:v>
                </c:pt>
                <c:pt idx="1">
                  <c:v>553552.77599999995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Vehicles!TablaDinámica19</c:name>
    <c:fmtId val="52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2021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Vehicles'!$B$733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Vehicles'!$A$734:$A$736</c:f>
              <c:strCache>
                <c:ptCount val="2"/>
                <c:pt idx="0">
                  <c:v>2021 FORD BRONCO BIG BEND</c:v>
                </c:pt>
                <c:pt idx="1">
                  <c:v>2024 FORD BRONCO BIG BEND</c:v>
                </c:pt>
              </c:strCache>
            </c:strRef>
          </c:cat>
          <c:val>
            <c:numRef>
              <c:f>'Individual Vehicles'!$B$734:$B$736</c:f>
              <c:numCache>
                <c:formatCode>_-"$"* #,##0_-;\-"$"* #,##0_-;_-"$"* "-"??_-;_-@_-</c:formatCode>
                <c:ptCount val="2"/>
                <c:pt idx="0">
                  <c:v>618000</c:v>
                </c:pt>
                <c:pt idx="1">
                  <c:v>743000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Vehicles'!$C$733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Vehicles'!$A$734:$A$736</c:f>
              <c:strCache>
                <c:ptCount val="2"/>
                <c:pt idx="0">
                  <c:v>2021 FORD BRONCO BIG BEND</c:v>
                </c:pt>
                <c:pt idx="1">
                  <c:v>2024 FORD BRONCO BIG BEND</c:v>
                </c:pt>
              </c:strCache>
            </c:strRef>
          </c:cat>
          <c:val>
            <c:numRef>
              <c:f>'Individual Vehicles'!$C$734:$C$736</c:f>
              <c:numCache>
                <c:formatCode>_-"$"* #,##0_-;\-"$"* #,##0_-;_-"$"* "-"??_-;_-@_-</c:formatCode>
                <c:ptCount val="2"/>
                <c:pt idx="0">
                  <c:v>530382.02399999998</c:v>
                </c:pt>
                <c:pt idx="1">
                  <c:v>587518.99199999997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Vehicles!TablaDinámica31</c:name>
    <c:fmtId val="52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2022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Vehicles'!$B$763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Vehicles'!$A$764:$A$766</c:f>
              <c:strCache>
                <c:ptCount val="2"/>
                <c:pt idx="0">
                  <c:v>2022 FORD MAVERICK LARIAT</c:v>
                </c:pt>
                <c:pt idx="1">
                  <c:v>2024 FORD MAVERICK LARIAT</c:v>
                </c:pt>
              </c:strCache>
            </c:strRef>
          </c:cat>
          <c:val>
            <c:numRef>
              <c:f>'Individual Vehicles'!$B$764:$B$766</c:f>
              <c:numCache>
                <c:formatCode>_-"$"* #,##0_-;\-"$"* #,##0_-;_-"$"* "-"??_-;_-@_-</c:formatCode>
                <c:ptCount val="2"/>
                <c:pt idx="0">
                  <c:v>497381.25599999999</c:v>
                </c:pt>
                <c:pt idx="1">
                  <c:v>668616.62399999995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Vehicles'!$C$763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Vehicles'!$A$764:$A$766</c:f>
              <c:strCache>
                <c:ptCount val="2"/>
                <c:pt idx="0">
                  <c:v>2022 FORD MAVERICK LARIAT</c:v>
                </c:pt>
                <c:pt idx="1">
                  <c:v>2024 FORD MAVERICK LARIAT</c:v>
                </c:pt>
              </c:strCache>
            </c:strRef>
          </c:cat>
          <c:val>
            <c:numRef>
              <c:f>'Individual Vehicles'!$C$764:$C$766</c:f>
              <c:numCache>
                <c:formatCode>_-"$"* #,##0_-;\-"$"* #,##0_-;_-"$"* "-"??_-;_-@_-</c:formatCode>
                <c:ptCount val="2"/>
                <c:pt idx="0">
                  <c:v>750000</c:v>
                </c:pt>
                <c:pt idx="1">
                  <c:v>802000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Vehicles!TablaDinámica2</c:name>
    <c:fmtId val="17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Vehicles'!$B$4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Vehicles'!$A$5:$A$7</c:f>
              <c:strCache>
                <c:ptCount val="2"/>
                <c:pt idx="0">
                  <c:v>                                 2019 AUDI A3 sedán</c:v>
                </c:pt>
                <c:pt idx="1">
                  <c:v>2024 AUDI A3 sedán</c:v>
                </c:pt>
              </c:strCache>
            </c:strRef>
          </c:cat>
          <c:val>
            <c:numRef>
              <c:f>'Individual Vehicles'!$B$5:$B$7</c:f>
              <c:numCache>
                <c:formatCode>_-"$"* #,##0_-;\-"$"* #,##0_-;_-"$"* "-"??_-;_-@_-</c:formatCode>
                <c:ptCount val="2"/>
                <c:pt idx="0">
                  <c:v>444900</c:v>
                </c:pt>
                <c:pt idx="1">
                  <c:v>699900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Vehicles'!$C$4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Vehicles'!$A$5:$A$7</c:f>
              <c:strCache>
                <c:ptCount val="2"/>
                <c:pt idx="0">
                  <c:v>                                 2019 AUDI A3 sedán</c:v>
                </c:pt>
                <c:pt idx="1">
                  <c:v>2024 AUDI A3 sedán</c:v>
                </c:pt>
              </c:strCache>
            </c:strRef>
          </c:cat>
          <c:val>
            <c:numRef>
              <c:f>'Individual Vehicles'!$C$5:$C$7</c:f>
              <c:numCache>
                <c:formatCode>_-"$"* #,##0_-;\-"$"* #,##0_-;_-"$"* "-"??_-;_-@_-</c:formatCode>
                <c:ptCount val="2"/>
                <c:pt idx="0">
                  <c:v>570492</c:v>
                </c:pt>
                <c:pt idx="1">
                  <c:v>647640.07200000004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Vehicles!TablaDinámica5</c:name>
    <c:fmtId val="17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Vehicles'!$B$29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Vehicles'!$A$30:$A$32</c:f>
              <c:strCache>
                <c:ptCount val="2"/>
                <c:pt idx="0">
                  <c:v>                                 2019 BMW X1 Xdrive</c:v>
                </c:pt>
                <c:pt idx="1">
                  <c:v>2024 BMW X1 Xdrive</c:v>
                </c:pt>
              </c:strCache>
            </c:strRef>
          </c:cat>
          <c:val>
            <c:numRef>
              <c:f>'Individual Vehicles'!$B$30:$B$32</c:f>
              <c:numCache>
                <c:formatCode>_-"$"* #,##0_-;\-"$"* #,##0_-;_-"$"* "-"??_-;_-@_-</c:formatCode>
                <c:ptCount val="2"/>
                <c:pt idx="0">
                  <c:v>589900</c:v>
                </c:pt>
                <c:pt idx="1">
                  <c:v>1170000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Vehicles'!$C$29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Vehicles'!$A$30:$A$32</c:f>
              <c:strCache>
                <c:ptCount val="2"/>
                <c:pt idx="0">
                  <c:v>                                 2019 BMW X1 Xdrive</c:v>
                </c:pt>
                <c:pt idx="1">
                  <c:v>2024 BMW X1 Xdrive</c:v>
                </c:pt>
              </c:strCache>
            </c:strRef>
          </c:cat>
          <c:val>
            <c:numRef>
              <c:f>'Individual Vehicles'!$C$30:$C$32</c:f>
              <c:numCache>
                <c:formatCode>_-"$"* #,##0_-;\-"$"* #,##0_-;_-"$"* "-"??_-;_-@_-</c:formatCode>
                <c:ptCount val="2"/>
                <c:pt idx="0">
                  <c:v>630964.152</c:v>
                </c:pt>
                <c:pt idx="1">
                  <c:v>728386.63199999998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Vehicles!TablaDinámica1</c:name>
    <c:fmtId val="20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 to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Vehicles'!$B$53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Vehicles'!$A$54:$A$56</c:f>
              <c:strCache>
                <c:ptCount val="2"/>
                <c:pt idx="0">
                  <c:v>       2019 CHEVROLET CHEYENNE RST</c:v>
                </c:pt>
                <c:pt idx="1">
                  <c:v>2024 CHEVROLET SILVERADO/CHEYENNE LT</c:v>
                </c:pt>
              </c:strCache>
            </c:strRef>
          </c:cat>
          <c:val>
            <c:numRef>
              <c:f>'Individual Vehicles'!$B$54:$B$56</c:f>
              <c:numCache>
                <c:formatCode>_-"$"* #,##0_-;\-"$"* #,##0_-;_-"$"* "-"??_-;_-@_-</c:formatCode>
                <c:ptCount val="2"/>
                <c:pt idx="0">
                  <c:v>845800</c:v>
                </c:pt>
                <c:pt idx="1">
                  <c:v>1106400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Vehicles'!$C$53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Vehicles'!$A$54:$A$56</c:f>
              <c:strCache>
                <c:ptCount val="2"/>
                <c:pt idx="0">
                  <c:v>       2019 CHEVROLET CHEYENNE RST</c:v>
                </c:pt>
                <c:pt idx="1">
                  <c:v>2024 CHEVROLET SILVERADO/CHEYENNE LT</c:v>
                </c:pt>
              </c:strCache>
            </c:strRef>
          </c:cat>
          <c:val>
            <c:numRef>
              <c:f>'Individual Vehicles'!$C$54:$C$56</c:f>
              <c:numCache>
                <c:formatCode>_-"$"* #,##0_-;\-"$"* #,##0_-;_-"$"* "-"??_-;_-@_-</c:formatCode>
                <c:ptCount val="2"/>
                <c:pt idx="0">
                  <c:v>781135.2</c:v>
                </c:pt>
                <c:pt idx="1">
                  <c:v>983089.36800000002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Vehicles!TablaDinámica3</c:name>
    <c:fmtId val="19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Vehicles'!$B$78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Vehicles'!$A$79:$A$81</c:f>
              <c:strCache>
                <c:ptCount val="2"/>
                <c:pt idx="0">
                  <c:v>2019 CHEVROLET TAHOE LT</c:v>
                </c:pt>
                <c:pt idx="1">
                  <c:v>2024 CHEVROLET TAHOE LT</c:v>
                </c:pt>
              </c:strCache>
            </c:strRef>
          </c:cat>
          <c:val>
            <c:numRef>
              <c:f>'Individual Vehicles'!$B$79:$B$81</c:f>
              <c:numCache>
                <c:formatCode>_-"$"* #,##0_-;\-"$"* #,##0_-;_-"$"* "-"??_-;_-@_-</c:formatCode>
                <c:ptCount val="2"/>
                <c:pt idx="0">
                  <c:v>1123700</c:v>
                </c:pt>
                <c:pt idx="1">
                  <c:v>1702600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Vehicles'!$C$78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Vehicles'!$A$79:$A$81</c:f>
              <c:strCache>
                <c:ptCount val="2"/>
                <c:pt idx="0">
                  <c:v>2019 CHEVROLET TAHOE LT</c:v>
                </c:pt>
                <c:pt idx="1">
                  <c:v>2024 CHEVROLET TAHOE LT</c:v>
                </c:pt>
              </c:strCache>
            </c:strRef>
          </c:cat>
          <c:val>
            <c:numRef>
              <c:f>'Individual Vehicles'!$C$79:$C$81</c:f>
              <c:numCache>
                <c:formatCode>_-"$"* #,##0_-;\-"$"* #,##0_-;_-"$"* "-"??_-;_-@_-</c:formatCode>
                <c:ptCount val="2"/>
                <c:pt idx="0">
                  <c:v>953072.71199999994</c:v>
                </c:pt>
                <c:pt idx="1">
                  <c:v>1184780.2319999998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Vehicles!TablaDinámica4</c:name>
    <c:fmtId val="22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Vehicles'!$B$104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Vehicles'!$A$105:$A$107</c:f>
              <c:strCache>
                <c:ptCount val="2"/>
                <c:pt idx="0">
                  <c:v>2019 CHEVROLET TRAX LS</c:v>
                </c:pt>
                <c:pt idx="1">
                  <c:v>2024 CHEVROLET TRAX LS</c:v>
                </c:pt>
              </c:strCache>
            </c:strRef>
          </c:cat>
          <c:val>
            <c:numRef>
              <c:f>'Individual Vehicles'!$B$105:$B$107</c:f>
              <c:numCache>
                <c:formatCode>_-"$"* #,##0_-;\-"$"* #,##0_-;_-"$"* "-"??_-;_-@_-</c:formatCode>
                <c:ptCount val="2"/>
                <c:pt idx="0">
                  <c:v>313000</c:v>
                </c:pt>
                <c:pt idx="1">
                  <c:v>507000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Vehicles'!$C$104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Vehicles'!$A$105:$A$107</c:f>
              <c:strCache>
                <c:ptCount val="2"/>
                <c:pt idx="0">
                  <c:v>2019 CHEVROLET TRAX LS</c:v>
                </c:pt>
                <c:pt idx="1">
                  <c:v>2024 CHEVROLET TRAX LS</c:v>
                </c:pt>
              </c:strCache>
            </c:strRef>
          </c:cat>
          <c:val>
            <c:numRef>
              <c:f>'Individual Vehicles'!$C$105:$C$107</c:f>
              <c:numCache>
                <c:formatCode>_-"$"* #,##0_-;\-"$"* #,##0_-;_-"$"* "-"??_-;_-@_-</c:formatCode>
                <c:ptCount val="2"/>
                <c:pt idx="0">
                  <c:v>391357.51199999999</c:v>
                </c:pt>
                <c:pt idx="1">
                  <c:v>401714.136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[MX USA CAN Price Study .xlsx]Individual Vehicles!TablaDinámica6</c:name>
    <c:fmtId val="28"/>
  </c:pivotSource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Price increase 2019-2024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2">
                <a:lumMod val="25000"/>
              </a:schemeClr>
            </a:solidFill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4400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10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7FCC32"/>
            </a:solidFill>
            <a:round/>
          </a:ln>
          <a:effectLst/>
        </c:spPr>
        <c:marker>
          <c:symbol val="circle"/>
          <c:size val="5"/>
          <c:spPr>
            <a:solidFill>
              <a:srgbClr val="7FCC32"/>
            </a:solidFill>
            <a:ln w="9525">
              <a:solidFill>
                <a:srgbClr val="7FCC3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2.4605877320050488E-2"/>
              <c:y val="-9.7766442312852517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4.2478701985932156E-2"/>
              <c:y val="-6.6929509580871918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200" b="1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rgbClr val="0061A9"/>
            </a:solidFill>
            <a:round/>
          </a:ln>
          <a:effectLst/>
        </c:spPr>
        <c:marker>
          <c:symbol val="circle"/>
          <c:size val="5"/>
          <c:spPr>
            <a:solidFill>
              <a:srgbClr val="0061A9"/>
            </a:solidFill>
            <a:ln w="9525">
              <a:solidFill>
                <a:srgbClr val="0061A9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1039077655510094E-2"/>
              <c:y val="-9.7792182657369969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8124532319048063E-2"/>
              <c:y val="-5.7674641559631756E-2"/>
            </c:manualLayout>
          </c:layout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 algn="ctr">
                <a:defRPr sz="1100"/>
              </a:pPr>
              <a:endParaRPr lang="es-MX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'Individual Vehicles'!$B$129</c:f>
              <c:strCache>
                <c:ptCount val="1"/>
                <c:pt idx="0">
                  <c:v>Price in Mexico</c:v>
                </c:pt>
              </c:strCache>
            </c:strRef>
          </c:tx>
          <c:spPr>
            <a:ln w="28575" cap="rnd">
              <a:solidFill>
                <a:srgbClr val="7FCC3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FCC32"/>
              </a:solidFill>
              <a:ln w="9525">
                <a:solidFill>
                  <a:srgbClr val="7FCC3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05877320050488E-2"/>
                  <c:y val="-9.776644231285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7-43CD-8A0A-3C789580E4D0}"/>
                </c:ext>
              </c:extLst>
            </c:dLbl>
            <c:dLbl>
              <c:idx val="1"/>
              <c:layout>
                <c:manualLayout>
                  <c:x val="-4.2478701985932156E-2"/>
                  <c:y val="-6.692950958087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2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Vehicles'!$A$130:$A$132</c:f>
              <c:strCache>
                <c:ptCount val="2"/>
                <c:pt idx="0">
                  <c:v>2019 FORD F-150 PLATINUM</c:v>
                </c:pt>
                <c:pt idx="1">
                  <c:v>2024 FORD F-150 PLATINUM</c:v>
                </c:pt>
              </c:strCache>
            </c:strRef>
          </c:cat>
          <c:val>
            <c:numRef>
              <c:f>'Individual Vehicles'!$B$130:$B$132</c:f>
              <c:numCache>
                <c:formatCode>_-"$"* #,##0_-;\-"$"* #,##0_-;_-"$"* "-"??_-;_-@_-</c:formatCode>
                <c:ptCount val="2"/>
                <c:pt idx="0">
                  <c:v>972700</c:v>
                </c:pt>
                <c:pt idx="1">
                  <c:v>1534900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C-4134-9C52-A92688EB0AB2}"/>
            </c:ext>
          </c:extLst>
        </c:ser>
        <c:ser>
          <c:idx val="1"/>
          <c:order val="1"/>
          <c:tx>
            <c:strRef>
              <c:f>'Individual Vehicles'!$C$129</c:f>
              <c:strCache>
                <c:ptCount val="1"/>
                <c:pt idx="0">
                  <c:v>Price in USA</c:v>
                </c:pt>
              </c:strCache>
            </c:strRef>
          </c:tx>
          <c:spPr>
            <a:ln w="28575" cap="rnd">
              <a:solidFill>
                <a:srgbClr val="0061A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61A9"/>
              </a:solidFill>
              <a:ln w="9525">
                <a:solidFill>
                  <a:srgbClr val="0061A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9077655510094E-2"/>
                  <c:y val="-9.779218265736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7-43CD-8A0A-3C789580E4D0}"/>
                </c:ext>
              </c:extLst>
            </c:dLbl>
            <c:dLbl>
              <c:idx val="1"/>
              <c:layout>
                <c:manualLayout>
                  <c:x val="-2.8124532319048063E-2"/>
                  <c:y val="-5.76746415596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7-43CD-8A0A-3C789580E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'Individual Vehicles'!$A$130:$A$132</c:f>
              <c:strCache>
                <c:ptCount val="2"/>
                <c:pt idx="0">
                  <c:v>2019 FORD F-150 PLATINUM</c:v>
                </c:pt>
                <c:pt idx="1">
                  <c:v>2024 FORD F-150 PLATINUM</c:v>
                </c:pt>
              </c:strCache>
            </c:strRef>
          </c:cat>
          <c:val>
            <c:numRef>
              <c:f>'Individual Vehicles'!$C$130:$C$132</c:f>
              <c:numCache>
                <c:formatCode>_-"$"* #,##0_-;\-"$"* #,##0_-;_-"$"* "-"??_-;_-@_-</c:formatCode>
                <c:ptCount val="2"/>
                <c:pt idx="0">
                  <c:v>992041.70399999991</c:v>
                </c:pt>
                <c:pt idx="1">
                  <c:v>1465901.1359999999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134-9C52-A92688EB0A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35631"/>
        <c:axId val="1656166591"/>
      </c:lineChart>
      <c:catAx>
        <c:axId val="108893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s-MX"/>
          </a:p>
        </c:txPr>
        <c:crossAx val="1656166591"/>
        <c:crosses val="autoZero"/>
        <c:auto val="0"/>
        <c:lblAlgn val="ctr"/>
        <c:lblOffset val="100"/>
        <c:noMultiLvlLbl val="0"/>
      </c:catAx>
      <c:valAx>
        <c:axId val="1656166591"/>
        <c:scaling>
          <c:orientation val="minMax"/>
          <c:min val="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Price in Mexican Peso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0889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26" Type="http://schemas.openxmlformats.org/officeDocument/2006/relationships/chart" Target="../charts/chart29.xml"/><Relationship Id="rId3" Type="http://schemas.openxmlformats.org/officeDocument/2006/relationships/chart" Target="../charts/chart6.xml"/><Relationship Id="rId21" Type="http://schemas.openxmlformats.org/officeDocument/2006/relationships/chart" Target="../charts/chart24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5" Type="http://schemas.openxmlformats.org/officeDocument/2006/relationships/chart" Target="../charts/chart28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20" Type="http://schemas.openxmlformats.org/officeDocument/2006/relationships/chart" Target="../charts/chart23.xml"/><Relationship Id="rId29" Type="http://schemas.openxmlformats.org/officeDocument/2006/relationships/chart" Target="../charts/chart32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24" Type="http://schemas.openxmlformats.org/officeDocument/2006/relationships/chart" Target="../charts/chart27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23" Type="http://schemas.openxmlformats.org/officeDocument/2006/relationships/chart" Target="../charts/chart26.xml"/><Relationship Id="rId28" Type="http://schemas.openxmlformats.org/officeDocument/2006/relationships/chart" Target="../charts/chart31.xml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31" Type="http://schemas.openxmlformats.org/officeDocument/2006/relationships/chart" Target="../charts/chart34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Relationship Id="rId22" Type="http://schemas.openxmlformats.org/officeDocument/2006/relationships/chart" Target="../charts/chart25.xml"/><Relationship Id="rId27" Type="http://schemas.openxmlformats.org/officeDocument/2006/relationships/chart" Target="../charts/chart30.xml"/><Relationship Id="rId30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935994</xdr:colOff>
      <xdr:row>42</xdr:row>
      <xdr:rowOff>27710</xdr:rowOff>
    </xdr:from>
    <xdr:to>
      <xdr:col>23</xdr:col>
      <xdr:colOff>1704976</xdr:colOff>
      <xdr:row>93</xdr:row>
      <xdr:rowOff>9526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76E0872-A1C9-A336-E700-D591DEF8FC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35502</xdr:colOff>
      <xdr:row>42</xdr:row>
      <xdr:rowOff>126421</xdr:rowOff>
    </xdr:from>
    <xdr:to>
      <xdr:col>29</xdr:col>
      <xdr:colOff>405017</xdr:colOff>
      <xdr:row>93</xdr:row>
      <xdr:rowOff>124691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32D1B9C-2EB8-661A-D5CE-0C1EC305B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16443</xdr:colOff>
      <xdr:row>0</xdr:row>
      <xdr:rowOff>0</xdr:rowOff>
    </xdr:from>
    <xdr:to>
      <xdr:col>46</xdr:col>
      <xdr:colOff>507596</xdr:colOff>
      <xdr:row>212</xdr:row>
      <xdr:rowOff>55172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885526F-02B9-55E2-59CB-54FFE3DF10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97865</xdr:colOff>
      <xdr:row>0</xdr:row>
      <xdr:rowOff>0</xdr:rowOff>
    </xdr:from>
    <xdr:to>
      <xdr:col>12</xdr:col>
      <xdr:colOff>12506</xdr:colOff>
      <xdr:row>22</xdr:row>
      <xdr:rowOff>177388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2ED92B-E887-4AD9-893A-FAE8DFA4C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1792</xdr:colOff>
      <xdr:row>24</xdr:row>
      <xdr:rowOff>21626</xdr:rowOff>
    </xdr:from>
    <xdr:to>
      <xdr:col>11</xdr:col>
      <xdr:colOff>746072</xdr:colOff>
      <xdr:row>47</xdr:row>
      <xdr:rowOff>156882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B958A2-441D-4F05-B78A-600300D75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19608</xdr:colOff>
      <xdr:row>48</xdr:row>
      <xdr:rowOff>167912</xdr:rowOff>
    </xdr:from>
    <xdr:to>
      <xdr:col>12</xdr:col>
      <xdr:colOff>67234</xdr:colOff>
      <xdr:row>72</xdr:row>
      <xdr:rowOff>171485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17879A-3F49-4AD0-B069-A1035ED0D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10613</xdr:colOff>
      <xdr:row>74</xdr:row>
      <xdr:rowOff>22316</xdr:rowOff>
    </xdr:from>
    <xdr:to>
      <xdr:col>11</xdr:col>
      <xdr:colOff>762000</xdr:colOff>
      <xdr:row>98</xdr:row>
      <xdr:rowOff>47231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EDA3D21-8545-4DF5-9412-019B56EB7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26670</xdr:colOff>
      <xdr:row>100</xdr:row>
      <xdr:rowOff>8571</xdr:rowOff>
    </xdr:from>
    <xdr:to>
      <xdr:col>11</xdr:col>
      <xdr:colOff>768851</xdr:colOff>
      <xdr:row>123</xdr:row>
      <xdr:rowOff>76199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FE44D51-86FD-469C-81E2-F9DEF5325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40004</xdr:colOff>
      <xdr:row>125</xdr:row>
      <xdr:rowOff>20001</xdr:rowOff>
    </xdr:from>
    <xdr:to>
      <xdr:col>11</xdr:col>
      <xdr:colOff>781049</xdr:colOff>
      <xdr:row>148</xdr:row>
      <xdr:rowOff>85477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489874D-3620-47EE-A97C-04873CE16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20955</xdr:colOff>
      <xdr:row>150</xdr:row>
      <xdr:rowOff>35242</xdr:rowOff>
    </xdr:from>
    <xdr:to>
      <xdr:col>11</xdr:col>
      <xdr:colOff>752475</xdr:colOff>
      <xdr:row>173</xdr:row>
      <xdr:rowOff>100013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7D93212-19D2-430C-B2A7-10F08783A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28217</xdr:colOff>
      <xdr:row>175</xdr:row>
      <xdr:rowOff>2111</xdr:rowOff>
    </xdr:from>
    <xdr:to>
      <xdr:col>13</xdr:col>
      <xdr:colOff>218800</xdr:colOff>
      <xdr:row>198</xdr:row>
      <xdr:rowOff>80348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6F4CDA0-CD7A-4A5B-AC76-32B5F5C36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20955</xdr:colOff>
      <xdr:row>200</xdr:row>
      <xdr:rowOff>21906</xdr:rowOff>
    </xdr:from>
    <xdr:to>
      <xdr:col>11</xdr:col>
      <xdr:colOff>752475</xdr:colOff>
      <xdr:row>223</xdr:row>
      <xdr:rowOff>106646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518703B-7C9F-40CD-847D-4490B3A19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24765</xdr:colOff>
      <xdr:row>225</xdr:row>
      <xdr:rowOff>21907</xdr:rowOff>
    </xdr:from>
    <xdr:to>
      <xdr:col>11</xdr:col>
      <xdr:colOff>714375</xdr:colOff>
      <xdr:row>248</xdr:row>
      <xdr:rowOff>72098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9603091-8F46-4CF6-A901-6D3592E05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20955</xdr:colOff>
      <xdr:row>250</xdr:row>
      <xdr:rowOff>20001</xdr:rowOff>
    </xdr:from>
    <xdr:to>
      <xdr:col>12</xdr:col>
      <xdr:colOff>19050</xdr:colOff>
      <xdr:row>273</xdr:row>
      <xdr:rowOff>119009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D2CF8A8-47BF-4CDD-A36A-BD85E1C4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15240</xdr:colOff>
      <xdr:row>275</xdr:row>
      <xdr:rowOff>8571</xdr:rowOff>
    </xdr:from>
    <xdr:to>
      <xdr:col>12</xdr:col>
      <xdr:colOff>28575</xdr:colOff>
      <xdr:row>298</xdr:row>
      <xdr:rowOff>116709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87B8978-1771-45A6-B623-105925F3A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17145</xdr:colOff>
      <xdr:row>299</xdr:row>
      <xdr:rowOff>172401</xdr:rowOff>
    </xdr:from>
    <xdr:to>
      <xdr:col>11</xdr:col>
      <xdr:colOff>771525</xdr:colOff>
      <xdr:row>323</xdr:row>
      <xdr:rowOff>75798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CE40178-19C2-43E1-99B6-4591B95B7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20955</xdr:colOff>
      <xdr:row>325</xdr:row>
      <xdr:rowOff>18097</xdr:rowOff>
    </xdr:from>
    <xdr:to>
      <xdr:col>11</xdr:col>
      <xdr:colOff>773430</xdr:colOff>
      <xdr:row>348</xdr:row>
      <xdr:rowOff>118092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B20EB29-008F-4AB4-BA20-494A370D9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40005</xdr:colOff>
      <xdr:row>350</xdr:row>
      <xdr:rowOff>21907</xdr:rowOff>
    </xdr:from>
    <xdr:to>
      <xdr:col>11</xdr:col>
      <xdr:colOff>771525</xdr:colOff>
      <xdr:row>373</xdr:row>
      <xdr:rowOff>102570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2D2A29E8-BC5F-4FD9-B436-C59C27F6D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19049</xdr:colOff>
      <xdr:row>374</xdr:row>
      <xdr:rowOff>170496</xdr:rowOff>
    </xdr:from>
    <xdr:to>
      <xdr:col>11</xdr:col>
      <xdr:colOff>750569</xdr:colOff>
      <xdr:row>398</xdr:row>
      <xdr:rowOff>63746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1725F67F-68A2-44FC-9887-B1872554E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26670</xdr:colOff>
      <xdr:row>400</xdr:row>
      <xdr:rowOff>35241</xdr:rowOff>
    </xdr:from>
    <xdr:to>
      <xdr:col>12</xdr:col>
      <xdr:colOff>0</xdr:colOff>
      <xdr:row>423</xdr:row>
      <xdr:rowOff>115873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835E8D59-B91E-4ABB-BBF6-87905EB1A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19050</xdr:colOff>
      <xdr:row>426</xdr:row>
      <xdr:rowOff>16191</xdr:rowOff>
    </xdr:from>
    <xdr:to>
      <xdr:col>12</xdr:col>
      <xdr:colOff>10342</xdr:colOff>
      <xdr:row>449</xdr:row>
      <xdr:rowOff>114299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F604D480-5A84-442F-A9DE-6630013D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0</xdr:colOff>
      <xdr:row>451</xdr:row>
      <xdr:rowOff>172402</xdr:rowOff>
    </xdr:from>
    <xdr:to>
      <xdr:col>11</xdr:col>
      <xdr:colOff>762000</xdr:colOff>
      <xdr:row>475</xdr:row>
      <xdr:rowOff>76826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9CE77D3-6739-49E8-A2E5-300A62FF1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11430</xdr:colOff>
      <xdr:row>477</xdr:row>
      <xdr:rowOff>20002</xdr:rowOff>
    </xdr:from>
    <xdr:to>
      <xdr:col>11</xdr:col>
      <xdr:colOff>782253</xdr:colOff>
      <xdr:row>500</xdr:row>
      <xdr:rowOff>104775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0EADAAD-6C7E-4DA2-B4BD-089AE70F3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15240</xdr:colOff>
      <xdr:row>502</xdr:row>
      <xdr:rowOff>16191</xdr:rowOff>
    </xdr:from>
    <xdr:to>
      <xdr:col>12</xdr:col>
      <xdr:colOff>11430</xdr:colOff>
      <xdr:row>525</xdr:row>
      <xdr:rowOff>115457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6F01FAA5-3F5A-45C8-A848-67B7D61AB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0</xdr:colOff>
      <xdr:row>527</xdr:row>
      <xdr:rowOff>20002</xdr:rowOff>
    </xdr:from>
    <xdr:to>
      <xdr:col>12</xdr:col>
      <xdr:colOff>9525</xdr:colOff>
      <xdr:row>550</xdr:row>
      <xdr:rowOff>122299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F58B06E3-2910-4A4A-BBF0-7BCEB574C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1905</xdr:colOff>
      <xdr:row>552</xdr:row>
      <xdr:rowOff>20001</xdr:rowOff>
    </xdr:from>
    <xdr:to>
      <xdr:col>11</xdr:col>
      <xdr:colOff>753865</xdr:colOff>
      <xdr:row>575</xdr:row>
      <xdr:rowOff>95249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B2DFF5D2-2611-4A30-9E43-F654BE9D4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17145</xdr:colOff>
      <xdr:row>576</xdr:row>
      <xdr:rowOff>174306</xdr:rowOff>
    </xdr:from>
    <xdr:to>
      <xdr:col>11</xdr:col>
      <xdr:colOff>769017</xdr:colOff>
      <xdr:row>600</xdr:row>
      <xdr:rowOff>76199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815440AD-412A-4E16-A361-75CA95333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17145</xdr:colOff>
      <xdr:row>601</xdr:row>
      <xdr:rowOff>172402</xdr:rowOff>
    </xdr:from>
    <xdr:to>
      <xdr:col>12</xdr:col>
      <xdr:colOff>13372</xdr:colOff>
      <xdr:row>625</xdr:row>
      <xdr:rowOff>95250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98B5406E-2C26-4079-A5E4-16FFA13C4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26670</xdr:colOff>
      <xdr:row>626</xdr:row>
      <xdr:rowOff>168592</xdr:rowOff>
    </xdr:from>
    <xdr:to>
      <xdr:col>11</xdr:col>
      <xdr:colOff>773430</xdr:colOff>
      <xdr:row>650</xdr:row>
      <xdr:rowOff>65269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C74386D6-158F-4F95-B2C7-C52A18926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</xdr:col>
      <xdr:colOff>17145</xdr:colOff>
      <xdr:row>651</xdr:row>
      <xdr:rowOff>174307</xdr:rowOff>
    </xdr:from>
    <xdr:to>
      <xdr:col>11</xdr:col>
      <xdr:colOff>781050</xdr:colOff>
      <xdr:row>675</xdr:row>
      <xdr:rowOff>83419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CF30D854-FE5A-42BC-B966-76C61EA85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</xdr:col>
      <xdr:colOff>11927</xdr:colOff>
      <xdr:row>676</xdr:row>
      <xdr:rowOff>76490</xdr:rowOff>
    </xdr:from>
    <xdr:to>
      <xdr:col>12</xdr:col>
      <xdr:colOff>185388</xdr:colOff>
      <xdr:row>700</xdr:row>
      <xdr:rowOff>56488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DBB1913B-DC70-4CDF-98E9-C327B0AB8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2546903</xdr:colOff>
      <xdr:row>703</xdr:row>
      <xdr:rowOff>19878</xdr:rowOff>
    </xdr:from>
    <xdr:to>
      <xdr:col>12</xdr:col>
      <xdr:colOff>112147</xdr:colOff>
      <xdr:row>726</xdr:row>
      <xdr:rowOff>146486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CC65843E-E80C-3E5A-53A5-637976F2A3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</xdr:col>
      <xdr:colOff>4141</xdr:colOff>
      <xdr:row>728</xdr:row>
      <xdr:rowOff>19215</xdr:rowOff>
    </xdr:from>
    <xdr:to>
      <xdr:col>12</xdr:col>
      <xdr:colOff>143044</xdr:colOff>
      <xdr:row>751</xdr:row>
      <xdr:rowOff>149086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E0E2FA2A-E272-0A5A-AD06-1F76D25DB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</xdr:col>
      <xdr:colOff>20706</xdr:colOff>
      <xdr:row>756</xdr:row>
      <xdr:rowOff>40915</xdr:rowOff>
    </xdr:from>
    <xdr:to>
      <xdr:col>12</xdr:col>
      <xdr:colOff>115956</xdr:colOff>
      <xdr:row>779</xdr:row>
      <xdr:rowOff>166813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552DB912-01E8-61FB-59F9-64170A9717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732369</xdr:colOff>
      <xdr:row>19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FA3DDC-3A03-F8A5-F9B8-5D0F50252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5160" y="0"/>
          <a:ext cx="4694769" cy="362712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</xdr:colOff>
      <xdr:row>0</xdr:row>
      <xdr:rowOff>0</xdr:rowOff>
    </xdr:from>
    <xdr:to>
      <xdr:col>13</xdr:col>
      <xdr:colOff>93620</xdr:colOff>
      <xdr:row>19</xdr:row>
      <xdr:rowOff>176750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4C6DCB-1C83-9657-DFDD-BEE2F3406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5280" y="0"/>
          <a:ext cx="4833260" cy="365147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co Almeida" id="{AE54D739-0FA3-4012-9BB3-A42D34FB33AA}" userId="S::marcoalmeida@baltek.com.mx::8ea61651-39b5-482d-9605-55781f767be2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Almeida" refreshedDate="45436.746130671294" createdVersion="8" refreshedVersion="8" minRefreshableVersion="3" recordCount="62" xr:uid="{2781D48A-2AE7-446A-9DBB-D7434600FECF}">
  <cacheSource type="worksheet">
    <worksheetSource ref="C1:J63" sheet="Data for analysis"/>
  </cacheSource>
  <cacheFields count="8">
    <cacheField name="COUNTRY OF ORIGIN" numFmtId="0">
      <sharedItems containsBlank="1" count="2">
        <m/>
        <s v="MX"/>
      </sharedItems>
    </cacheField>
    <cacheField name="VEHICLE" numFmtId="0">
      <sharedItems count="64">
        <s v="2024 AUDI A3 sedán"/>
        <s v="2024 BMW X1 Xdrive"/>
        <s v="2024 CHEVROLET SILVERADO/CHEYENNE LT"/>
        <s v="2024 CHEVROLET TRAX LS"/>
        <s v="2024 CHEVROLET TAHOE LT"/>
        <s v="2024 FORD MUSTANG ECOBOOST PREMIUM"/>
        <s v="2024 FORD F-150 PLATINUM"/>
        <s v="2024 FORD MAVERICK LARIAT"/>
        <s v="2024 FORD BRONCO BIG BEND"/>
        <s v="2024 GMC SIERRA DENALI"/>
        <s v="2024 GMC YUKON DENALI"/>
        <s v="2024 HONDA CR-V TURBO/LX 2WD"/>
        <s v="2024 HONDA CIVIC i-Style"/>
        <s v="2024 HYUNDAI ELANTRA GLS/SE/PREFFERED"/>
        <s v="2024 HYUNDAI TUCSON GLS/SE/PREFFERED"/>
        <s v="2024 KIA FORTE 2.0MPI EX / LXS"/>
        <s v="2024 KIA SPORTAGE LX"/>
        <s v="2024 KIA SOUL EX / LX"/>
        <s v="2024 MAZDA MAZDA3 i/S/GX"/>
        <s v="2024 MAZDA CX-30 i-Sport/S/GX"/>
        <s v="2024 MERCEDES GLB 250 4MATIC MH"/>
        <s v="2024 NISSAN VERSA Sense CVT"/>
        <s v="2024 NISSAN SENTRA Sense CVT"/>
        <s v="2024 NISSAN FRONTIER V6 Pro-4X"/>
        <s v="2024 RAM 1500 LIMITED"/>
        <s v="2024 TOYOTA RAV4 XLE"/>
        <s v="2024 TOYOTA COROLLA LE"/>
        <s v="2024 TOYOTA TACOMA SR 4X4"/>
        <s v="2024 TOYOTA SIENNA LE HEV"/>
        <s v="2024 VW JETTA TRENDLINE"/>
        <s v="2024 VW TIGUAN R-LINE"/>
        <s v="2020 MAZDA3 i"/>
        <s v="2019 VW JETTA TRENDLINE"/>
        <s v="2020 VW TIGUAN R-LINE"/>
        <s v="2019 HYUNDAI ELANTRA GLS"/>
        <s v="2019 HYUNDAI TUCSON GLS"/>
        <s v="2019 KIA FORTE 2.0MPI EX"/>
        <s v="2019 AUDI A3 sedán"/>
        <s v="2019 BMW X1 Xdrive"/>
        <s v="2019 CHEVROLET CHEYENNE RST"/>
        <s v="2019 CHEVROLET TRAX LS"/>
        <s v="2019 CHEVROLET TAHOE LT"/>
        <s v="2019 FORD MUSTANG ECOBOOST PREMIUM"/>
        <s v="2019 FORD F-150 PLATINUM"/>
        <s v="2019 GMC YUKON DENALI"/>
        <s v="2019 GMC SIERRA DENALI"/>
        <s v="2019 HONDA CR-V TURBO/LX 2WD"/>
        <s v="2019 HONDA CIVIC EX MT"/>
        <s v="2019 KIA SPORTAGE LX"/>
        <s v="2019 KIA SOUL EX"/>
        <s v="2020 MAZDA CX-30 "/>
        <s v="2020 MERCEDES GLB 250 4MATIC Progressive"/>
        <s v="2019 RAM 1500 LIMITED"/>
        <s v="2019 TOYOTA COROLLA LE"/>
        <s v="2019 TOYOTA TACOMA SR 4X4"/>
        <s v="2019 TOYOTA SIENNA LE"/>
        <s v="2019 NISSAN VERSA Sense CVT"/>
        <s v="2019 NISSAN SENTRA Sense CVT"/>
        <s v="2019 NISSAN FRONTIER V6 Pro-4X"/>
        <s v="2019 TOYOTA RAV4 XLE"/>
        <s v="2021 FORD BRONCO BIG BEND"/>
        <s v="2022 FORD MAVERICK LARIAT"/>
        <s v="2019 VW TIGUAN R-LINE" u="1"/>
        <s v="2019 TOYOTA SIENNA LE HEV" u="1"/>
      </sharedItems>
    </cacheField>
    <cacheField name="TYPE" numFmtId="0">
      <sharedItems containsBlank="1" count="4">
        <s v="SEDAN"/>
        <s v="SUV"/>
        <s v="TRUCK"/>
        <m u="1"/>
      </sharedItems>
    </cacheField>
    <cacheField name="FULL PRICE MX IN MXN 16% TAX" numFmtId="44">
      <sharedItems containsSemiMixedTypes="0" containsString="0" containsNumber="1" containsInteger="1" minValue="216800" maxValue="2173900"/>
    </cacheField>
    <cacheField name="FULL PRICE USA IN MXN" numFmtId="44">
      <sharedItems containsSemiMixedTypes="0" containsString="0" containsNumber="1" minValue="234954.93599999999" maxValue="1577542.0320000001"/>
    </cacheField>
    <cacheField name="PRICE USA in USD" numFmtId="44">
      <sharedItems containsSemiMixedTypes="0" containsString="0" containsNumber="1" containsInteger="1" minValue="13385" maxValue="89870"/>
    </cacheField>
    <cacheField name="FULL PRICE USA 6% TAX" numFmtId="44">
      <sharedItems containsSemiMixedTypes="0" containsString="0" containsNumber="1" minValue="14188.1" maxValue="95262.200000000012"/>
    </cacheField>
    <cacheField name="FULL PRICE CAD IN MXN" numFmtId="0">
      <sharedItems containsString="0" containsBlank="1" containsNumber="1" minValue="322998.65999999997" maxValue="1665894.13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Almeida" refreshedDate="45436.746131828702" createdVersion="8" refreshedVersion="8" minRefreshableVersion="3" recordCount="31" xr:uid="{403830D8-4FB6-40E5-8FCE-83676DBA4C48}">
  <cacheSource type="worksheet">
    <worksheetSource ref="C1:J32" sheet="Data for analysis"/>
  </cacheSource>
  <cacheFields count="12">
    <cacheField name="COUNTRY OF ORIGIN" numFmtId="0">
      <sharedItems containsBlank="1" count="2">
        <m/>
        <s v="MX"/>
      </sharedItems>
    </cacheField>
    <cacheField name="VEHICLE" numFmtId="0">
      <sharedItems count="35">
        <s v="2024 AUDI A3 sedán"/>
        <s v="2024 BMW X1 Xdrive"/>
        <s v="2024 CHEVROLET SILVERADO/CHEYENNE LT"/>
        <s v="2024 CHEVROLET TRAX LS"/>
        <s v="2024 CHEVROLET TAHOE LT"/>
        <s v="2024 FORD MUSTANG ECOBOOST PREMIUM"/>
        <s v="2024 FORD F-150 PLATINUM"/>
        <s v="2024 FORD MAVERICK LARIAT"/>
        <s v="2024 FORD BRONCO BIG BEND"/>
        <s v="2024 GMC SIERRA DENALI"/>
        <s v="2024 GMC YUKON DENALI"/>
        <s v="2024 HONDA CR-V TURBO/LX 2WD"/>
        <s v="2024 HONDA CIVIC i-Style"/>
        <s v="2024 HYUNDAI ELANTRA GLS/SE/PREFFERED"/>
        <s v="2024 HYUNDAI TUCSON GLS/SE/PREFFERED"/>
        <s v="2024 KIA FORTE 2.0MPI EX / LXS"/>
        <s v="2024 KIA SPORTAGE LX"/>
        <s v="2024 KIA SOUL EX / LX"/>
        <s v="2024 MAZDA MAZDA3 i/S/GX"/>
        <s v="2024 MAZDA CX-30 i-Sport/S/GX"/>
        <s v="2024 MERCEDES GLB 250 4MATIC MH"/>
        <s v="2024 NISSAN VERSA Sense CVT"/>
        <s v="2024 NISSAN SENTRA Sense CVT"/>
        <s v="2024 NISSAN FRONTIER V6 Pro-4X"/>
        <s v="2024 RAM 1500 LIMITED"/>
        <s v="2024 TOYOTA RAV4 XLE"/>
        <s v="2024 TOYOTA COROLLA LE"/>
        <s v="2024 TOYOTA TACOMA SR 4X4"/>
        <s v="2024 TOYOTA SIENNA LE HEV"/>
        <s v="2024 VW JETTA TRENDLINE"/>
        <s v="2024 VW TIGUAN R-LINE"/>
        <s v="2024 FORD MAVERICK LARIAT AWD" u="1"/>
        <s v="2023 FORD F-150 PLATINUM" u="1"/>
        <s v="2023 KIA SOUL EX / LX" u="1"/>
        <s v="2025 NISSAN FRONTIER V6 Pro-4X" u="1"/>
      </sharedItems>
    </cacheField>
    <cacheField name="TYPE" numFmtId="0">
      <sharedItems count="3">
        <s v="SEDAN"/>
        <s v="SUV"/>
        <s v="TRUCK"/>
      </sharedItems>
    </cacheField>
    <cacheField name="FULL PRICE MX IN MXN 16% TAX" numFmtId="44">
      <sharedItems containsSemiMixedTypes="0" containsString="0" containsNumber="1" containsInteger="1" minValue="356900" maxValue="2173900"/>
    </cacheField>
    <cacheField name="FULL PRICE USA IN MXN" numFmtId="44">
      <sharedItems containsSemiMixedTypes="0" containsString="0" containsNumber="1" minValue="337029.12" maxValue="1577542.0320000001"/>
    </cacheField>
    <cacheField name="PRICE USA in USD" numFmtId="44">
      <sharedItems containsSemiMixedTypes="0" containsString="0" containsNumber="1" containsInteger="1" minValue="19200" maxValue="89870"/>
    </cacheField>
    <cacheField name="FULL PRICE USA 6% TAX" numFmtId="44">
      <sharedItems containsSemiMixedTypes="0" containsString="0" containsNumber="1" minValue="20352" maxValue="95262.200000000012"/>
    </cacheField>
    <cacheField name="FULL PRICE CAD IN MXN" numFmtId="44">
      <sharedItems containsSemiMixedTypes="0" containsString="0" containsNumber="1" minValue="322998.65999999997" maxValue="1665894.1399999997"/>
    </cacheField>
    <cacheField name="% de diferencia MXN USA" numFmtId="0" formula="( (#NAME?-#NAME?)*100)/#NAME?" databaseField="0"/>
    <cacheField name="% / 100 de diferencia MXN USA " numFmtId="0" formula="'% de diferencia MXN USA'/100" databaseField="0"/>
    <cacheField name="Campo1" numFmtId="0" formula=" 0" databaseField="0"/>
    <cacheField name="Campo2" numFmtId="0" formula="'% / 100 de diferencia MXN USA 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Almeida" refreshedDate="45436.746132175926" createdVersion="8" refreshedVersion="8" minRefreshableVersion="3" recordCount="16" xr:uid="{67459B6B-CE43-4517-BA26-A9DA83A2F9AD}">
  <cacheSource type="worksheet">
    <worksheetSource ref="B1:S17" sheet="Analysis 1"/>
  </cacheSource>
  <cacheFields count="18">
    <cacheField name="MY" numFmtId="0">
      <sharedItems containsSemiMixedTypes="0" containsString="0" containsNumber="1" containsInteger="1" minValue="2023" maxValue="2024"/>
    </cacheField>
    <cacheField name="Make" numFmtId="0">
      <sharedItems/>
    </cacheField>
    <cacheField name="Model" numFmtId="0">
      <sharedItems containsMixedTypes="1" containsNumber="1" containsInteger="1" minValue="1500" maxValue="1500"/>
    </cacheField>
    <cacheField name="Trim" numFmtId="0">
      <sharedItems/>
    </cacheField>
    <cacheField name="Complete name" numFmtId="0">
      <sharedItems count="25">
        <s v="2024 Cadillac Escalade SUV Premium Luxury"/>
        <s v="2023 Chevrolet Silverado / Cheyenne LT"/>
        <s v="2023 Chevrolet Suburban LT"/>
        <s v="2023 Ford F-150 XLT 4x2"/>
        <s v="2023 Ford F-150 Platinum"/>
        <s v="2023 Ford F-150 Raptor"/>
        <s v="2024 Ford F-250 Super Duty XLT"/>
        <s v="2024 Ford Mustang GT V8 AT/ GT Premium Fastback"/>
        <s v="2024 GMC Yukon Denali"/>
        <s v="2024 Honda CR-V LX 2WD"/>
        <s v="2023 Hyundai Tucson Ltd Tech/SEL/Preffered"/>
        <s v="2024 JEEP Wrangler Rubicon 2 door"/>
        <s v="2023 KIA Rio 5door HB"/>
        <s v="2024 Nissan Versa Sense CVT"/>
        <s v="2024 RAM 1500 Limited"/>
        <s v="2024 Toyota Rav4 LE FWD GAS"/>
        <s v="2024 JEEP Wrangler Rubicon 4 door" u="1"/>
        <s v="2024 Toyota Corolla LE CVT" u="1"/>
        <s v="2023 VW Jetta S / Trendline Automatic" u="1"/>
        <s v="2024 Toyota Sienna LE" u="1"/>
        <s v="2023 Ford F-150 XL" u="1"/>
        <s v="2024 Ford F-250 Super Duty XL" u="1"/>
        <s v="2023 Hyundai Tucson " u="1"/>
        <s v="2024 Toyota Sienna " u="1"/>
        <s v="2023 Toyota Rav4 LE FWD GAS" u="1"/>
      </sharedItems>
    </cacheField>
    <cacheField name="Type" numFmtId="0">
      <sharedItems count="3">
        <s v="SUV"/>
        <s v="Pick-up"/>
        <s v="Sedán"/>
      </sharedItems>
    </cacheField>
    <cacheField name="Sales 2023" numFmtId="0">
      <sharedItems containsString="0" containsBlank="1" containsNumber="1" containsInteger="1" minValue="4770" maxValue="76926"/>
    </cacheField>
    <cacheField name="Ex. Rate MXN USD" numFmtId="44">
      <sharedItems containsSemiMixedTypes="0" containsString="0" containsNumber="1" minValue="16.87" maxValue="16.87"/>
    </cacheField>
    <cacheField name="Ex. Rate MXN CAD" numFmtId="44">
      <sharedItems containsSemiMixedTypes="0" containsString="0" containsNumber="1" minValue="12.53" maxValue="12.53"/>
    </cacheField>
    <cacheField name="$ MSRP MX Full" numFmtId="44">
      <sharedItems containsSemiMixedTypes="0" containsString="0" containsNumber="1" containsInteger="1" minValue="351900" maxValue="2631400" count="19">
        <n v="2631400"/>
        <n v="1046400"/>
        <n v="1656600"/>
        <n v="1238000"/>
        <n v="1632000"/>
        <n v="2130000"/>
        <n v="1475000"/>
        <n v="1288000"/>
        <n v="2173900"/>
        <n v="739900"/>
        <n v="744400"/>
        <n v="1478900"/>
        <n v="537900"/>
        <n v="351900"/>
        <n v="1559900"/>
        <n v="562800"/>
        <n v="449900" u="1"/>
        <n v="419770" u="1"/>
        <n v="891600" u="1"/>
      </sharedItems>
    </cacheField>
    <cacheField name="$ MSRP USA Full" numFmtId="44">
      <sharedItems containsSemiMixedTypes="0" containsString="0" containsNumber="1" minValue="317915.15000000002" maxValue="1755576.55" count="19">
        <n v="1755576.55"/>
        <n v="931898.8"/>
        <n v="1196420.4000000001"/>
        <n v="889639.45000000007"/>
        <n v="1174911.1500000001"/>
        <n v="1386798.35"/>
        <n v="1326403.75"/>
        <n v="931392.70000000007"/>
        <n v="1464653.4000000001"/>
        <n v="550805.5"/>
        <n v="564891.95000000007"/>
        <n v="998113.55"/>
        <n v="317915.15000000002"/>
        <n v="323904"/>
        <n v="1294519.4500000002"/>
        <n v="508040.05000000005"/>
        <n v="413061.95" u="1"/>
        <n v="395770.2" u="1"/>
        <n v="699345.85000000009" u="1"/>
      </sharedItems>
    </cacheField>
    <cacheField name="$ MSRP CAD Lux Full" numFmtId="44">
      <sharedItems containsSemiMixedTypes="0" containsString="0" containsNumber="1" minValue="250524.81999999998" maxValue="1780237.3399999999" count="20">
        <n v="1780237.3399999999"/>
        <n v="827719.2699999999"/>
        <n v="1141094.5699999998"/>
        <n v="811004.25"/>
        <n v="1217414.8"/>
        <n v="1415689.52"/>
        <n v="1127261.45"/>
        <n v="802797.1"/>
        <n v="1549058.8399999999"/>
        <n v="504006.72"/>
        <n v="525736.99780000001"/>
        <n v="950901.7"/>
        <n v="250524.81999999998"/>
        <n v="322885.57"/>
        <n v="1103116.1399999999"/>
        <n v="512730.3566"/>
        <n v="453743.6274" u="1"/>
        <n v="343103.72740000003" u="1"/>
        <n v="345552.33999999997" u="1"/>
        <n v="679805.37659999996" u="1"/>
      </sharedItems>
    </cacheField>
    <cacheField name="$ MSRP MX - IVA - Promotions" numFmtId="44">
      <sharedItems containsSemiMixedTypes="0" containsString="0" containsNumber="1" minValue="303362.06896551728" maxValue="2268448.2758620693" count="22">
        <n v="2268448.2758620693"/>
        <n v="902068.96551724139"/>
        <n v="1268103.4482758623"/>
        <n v="969241.37931034481"/>
        <n v="1116896.551724138"/>
        <n v="1826206.8965517243"/>
        <n v="1271551.7241379311"/>
        <n v="1110344.8275862071"/>
        <n v="1874051.7241379311"/>
        <n v="637844.82758620696"/>
        <n v="641724.13793103455"/>
        <n v="1274913.7931034483"/>
        <n v="463706.89655172417"/>
        <n v="303362.06896551728"/>
        <n v="1344741.3793103448"/>
        <n v="485172.41379310348"/>
        <n v="1067241.3793103448" u="1"/>
        <n v="1406896.551724138" u="1"/>
        <n v="1836206.8965517243" u="1"/>
        <n v="387844.8275862069" u="1"/>
        <n v="361870.68965517246" u="1"/>
        <n v="768620.68965517252" u="1"/>
      </sharedItems>
    </cacheField>
    <cacheField name="Promotions" numFmtId="44">
      <sharedItems containsMixedTypes="1" containsNumber="1" containsInteger="1" minValue="0" maxValue="290000"/>
    </cacheField>
    <cacheField name="$ MSRP USA - Destination Fee + Acquisition Fees" numFmtId="44">
      <sharedItems containsSemiMixedTypes="0" containsString="0" containsNumber="1" minValue="298430.30000000005" maxValue="1721920.9000000001" count="18">
        <n v="1721920.9000000001"/>
        <n v="899930.15"/>
        <n v="1164451.7500000002"/>
        <n v="845102.65"/>
        <n v="1133410.9500000002"/>
        <n v="1342261.55"/>
        <n v="1292748.1000000001"/>
        <n v="893603.9"/>
        <n v="1430997.7500000002"/>
        <n v="528031"/>
        <n v="542370.50000000012"/>
        <n v="966144.9"/>
        <n v="298430.30000000005"/>
        <n v="304672.2"/>
        <n v="1260863.8000000003"/>
        <n v="485265.55000000005"/>
        <n v="394589.3" u="1"/>
        <n v="375104.45" u="1"/>
      </sharedItems>
    </cacheField>
    <cacheField name="$ MSRP CAD - HST - Destination Fee - Luxury tax" numFmtId="44">
      <sharedItems containsSemiMixedTypes="0" containsString="0" containsNumber="1" minValue="219838.84999999998" maxValue="1653133.0199999998" count="18">
        <n v="1653133.0199999998"/>
        <n v="791056.48999999987"/>
        <n v="1104431.7899999998"/>
        <n v="780994.9"/>
        <n v="1187405.45"/>
        <n v="1358565.25"/>
        <n v="1097252.0999999999"/>
        <n v="775293.75"/>
        <n v="1461737.2699999998"/>
        <n v="477273.96499999997"/>
        <n v="492129.0318"/>
        <n v="817775.46199999994"/>
        <n v="219838.84999999998"/>
        <n v="254333.94"/>
        <n v="976538.07999999984"/>
        <n v="415372.25660000002"/>
        <n v="258689.11740000005" u="1"/>
        <n v="313187.34999999998" u="1"/>
      </sharedItems>
    </cacheField>
    <cacheField name="Country of Assembly" numFmtId="0">
      <sharedItems containsBlank="1"/>
    </cacheField>
    <cacheField name="General com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Almeida" refreshedDate="45436.746132523149" createdVersion="8" refreshedVersion="8" minRefreshableVersion="3" recordCount="59" xr:uid="{B9F8885F-1182-4900-9CC1-97A252629FA8}">
  <cacheSource type="worksheet">
    <worksheetSource ref="C1:J60" sheet="Data for analysis"/>
  </cacheSource>
  <cacheFields count="8">
    <cacheField name="COUNTRY OF ORIGIN" numFmtId="0">
      <sharedItems containsBlank="1" count="2">
        <m/>
        <s v="MX"/>
      </sharedItems>
    </cacheField>
    <cacheField name="VEHICLE" numFmtId="0">
      <sharedItems count="64">
        <s v="2024 AUDI A3 sedán"/>
        <s v="2024 BMW X1 Xdrive"/>
        <s v="2024 CHEVROLET SILVERADO/CHEYENNE LT"/>
        <s v="2024 CHEVROLET TRAX LS"/>
        <s v="2024 CHEVROLET TAHOE LT"/>
        <s v="2024 FORD MUSTANG ECOBOOST PREMIUM"/>
        <s v="2024 FORD F-150 PLATINUM"/>
        <s v="2024 FORD MAVERICK LARIAT"/>
        <s v="2024 FORD BRONCO BIG BEND"/>
        <s v="2024 GMC SIERRA DENALI"/>
        <s v="2024 GMC YUKON DENALI"/>
        <s v="2024 HONDA CR-V TURBO/LX 2WD"/>
        <s v="2024 HONDA CIVIC i-Style"/>
        <s v="2024 HYUNDAI ELANTRA GLS/SE/PREFFERED"/>
        <s v="2024 HYUNDAI TUCSON GLS/SE/PREFFERED"/>
        <s v="2024 KIA FORTE 2.0MPI EX / LXS"/>
        <s v="2024 KIA SPORTAGE LX"/>
        <s v="2024 KIA SOUL EX / LX"/>
        <s v="2024 MAZDA MAZDA3 i/S/GX"/>
        <s v="2024 MAZDA CX-30 i-Sport/S/GX"/>
        <s v="2024 MERCEDES GLB 250 4MATIC MH"/>
        <s v="2024 NISSAN VERSA Sense CVT"/>
        <s v="2024 NISSAN SENTRA Sense CVT"/>
        <s v="2024 NISSAN FRONTIER V6 Pro-4X"/>
        <s v="2024 RAM 1500 LIMITED"/>
        <s v="2024 TOYOTA RAV4 XLE"/>
        <s v="2024 TOYOTA COROLLA LE"/>
        <s v="2024 TOYOTA TACOMA SR 4X4"/>
        <s v="2024 TOYOTA SIENNA LE HEV"/>
        <s v="2024 VW JETTA TRENDLINE"/>
        <s v="2024 VW TIGUAN R-LINE"/>
        <s v="2020 MAZDA3 i"/>
        <s v="2019 VW JETTA TRENDLINE"/>
        <s v="2020 VW TIGUAN R-LINE"/>
        <s v="2019 HYUNDAI ELANTRA GLS"/>
        <s v="2019 HYUNDAI TUCSON GLS"/>
        <s v="2019 KIA FORTE 2.0MPI EX"/>
        <s v="2019 AUDI A3 sedán"/>
        <s v="2019 BMW X1 Xdrive"/>
        <s v="2019 CHEVROLET CHEYENNE RST"/>
        <s v="2019 CHEVROLET TRAX LS"/>
        <s v="2019 CHEVROLET TAHOE LT"/>
        <s v="2019 FORD MUSTANG ECOBOOST PREMIUM"/>
        <s v="2019 FORD F-150 PLATINUM"/>
        <s v="2019 GMC YUKON DENALI"/>
        <s v="2019 GMC SIERRA DENALI"/>
        <s v="2019 HONDA CR-V TURBO/LX 2WD"/>
        <s v="2019 HONDA CIVIC EX MT"/>
        <s v="2019 KIA SPORTAGE LX"/>
        <s v="2019 KIA SOUL EX"/>
        <s v="2020 MAZDA CX-30 "/>
        <s v="2020 MERCEDES GLB 250 4MATIC Progressive"/>
        <s v="2019 RAM 1500 LIMITED"/>
        <s v="2019 TOYOTA COROLLA LE"/>
        <s v="2019 TOYOTA TACOMA SR 4X4"/>
        <s v="2019 TOYOTA SIENNA LE"/>
        <s v="2019 NISSAN VERSA Sense CVT"/>
        <s v="2019 NISSAN SENTRA Sense CVT"/>
        <s v="2019 NISSAN FRONTIER V6 Pro-4X"/>
        <s v="2019 VW TIGUAN R-LINE" u="1"/>
        <s v="2019 TOYOTA SIENNA LE HEV" u="1"/>
        <s v="2024 FORD MAVERICK LARIAT AWD" u="1"/>
        <s v="2020 MAZDA CX-30 i Grand Touring" u="1"/>
        <s v="2020 MB GLB 250 4MATIC Progressive" u="1"/>
      </sharedItems>
    </cacheField>
    <cacheField name="TYPE" numFmtId="0">
      <sharedItems containsBlank="1" count="4">
        <s v="SEDAN"/>
        <s v="SUV"/>
        <s v="TRUCK"/>
        <m u="1"/>
      </sharedItems>
    </cacheField>
    <cacheField name="FULL PRICE MX IN MXN 16% TAX" numFmtId="44">
      <sharedItems containsSemiMixedTypes="0" containsString="0" containsNumber="1" containsInteger="1" minValue="216800" maxValue="2173900"/>
    </cacheField>
    <cacheField name="FULL PRICE USA IN MXN" numFmtId="44">
      <sharedItems containsSemiMixedTypes="0" containsString="0" containsNumber="1" minValue="234954.93599999999" maxValue="1577542.0320000001"/>
    </cacheField>
    <cacheField name="PRICE USA in USD" numFmtId="44">
      <sharedItems containsSemiMixedTypes="0" containsString="0" containsNumber="1" containsInteger="1" minValue="13385" maxValue="89870"/>
    </cacheField>
    <cacheField name="FULL PRICE USA 6% TAX" numFmtId="44">
      <sharedItems containsSemiMixedTypes="0" containsString="0" containsNumber="1" minValue="14188.1" maxValue="95262.200000000012"/>
    </cacheField>
    <cacheField name="FULL PRICE CAD IN MXN" numFmtId="0">
      <sharedItems containsString="0" containsBlank="1" containsNumber="1" minValue="322998.65999999997" maxValue="1665894.13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x v="0"/>
    <x v="0"/>
    <n v="699900"/>
    <n v="647640.07200000004"/>
    <n v="36895"/>
    <n v="39108.700000000004"/>
    <n v="621739.44999999984"/>
  </r>
  <r>
    <x v="0"/>
    <x v="1"/>
    <x v="1"/>
    <n v="1170000"/>
    <n v="728386.63199999998"/>
    <n v="41495"/>
    <n v="43984.700000000004"/>
    <n v="710409.04999999981"/>
  </r>
  <r>
    <x v="1"/>
    <x v="2"/>
    <x v="2"/>
    <n v="1106400"/>
    <n v="983089.36800000002"/>
    <n v="56005"/>
    <n v="59365.3"/>
    <n v="878207.85"/>
  </r>
  <r>
    <x v="0"/>
    <x v="3"/>
    <x v="1"/>
    <n v="507000"/>
    <n v="401714.136"/>
    <n v="22885"/>
    <n v="24258.100000000002"/>
    <n v="363699.68999999994"/>
  </r>
  <r>
    <x v="0"/>
    <x v="4"/>
    <x v="1"/>
    <n v="1702600"/>
    <n v="1184780.2319999998"/>
    <n v="67495"/>
    <n v="71544.7"/>
    <n v="1233938.4999999998"/>
  </r>
  <r>
    <x v="0"/>
    <x v="5"/>
    <x v="0"/>
    <n v="1008000"/>
    <n v="701792.92799999996"/>
    <n v="39980"/>
    <n v="42378.8"/>
    <n v="662566.74999999988"/>
  </r>
  <r>
    <x v="0"/>
    <x v="6"/>
    <x v="2"/>
    <n v="1534900"/>
    <n v="1465901.1359999999"/>
    <n v="83510"/>
    <n v="88520.6"/>
    <n v="1486927.4599999997"/>
  </r>
  <r>
    <x v="1"/>
    <x v="7"/>
    <x v="2"/>
    <n v="802000"/>
    <n v="668616.62399999995"/>
    <n v="38090"/>
    <n v="40375.4"/>
    <n v="656814.44999999984"/>
  </r>
  <r>
    <x v="0"/>
    <x v="8"/>
    <x v="1"/>
    <n v="743000"/>
    <n v="587518.99199999997"/>
    <n v="33470"/>
    <n v="35478.200000000004"/>
    <n v="577895.69999999984"/>
  </r>
  <r>
    <x v="1"/>
    <x v="9"/>
    <x v="2"/>
    <n v="1739900"/>
    <n v="1398056.4719999998"/>
    <n v="79645"/>
    <n v="84423.7"/>
    <n v="1381113.1999999997"/>
  </r>
  <r>
    <x v="0"/>
    <x v="10"/>
    <x v="2"/>
    <n v="2173900"/>
    <n v="1577542.0320000001"/>
    <n v="89870"/>
    <n v="95262.200000000012"/>
    <n v="1665894.1399999997"/>
  </r>
  <r>
    <x v="0"/>
    <x v="11"/>
    <x v="1"/>
    <n v="739900"/>
    <n v="573125.03999999992"/>
    <n v="32650"/>
    <n v="34609"/>
    <n v="564344.12299999991"/>
  </r>
  <r>
    <x v="0"/>
    <x v="12"/>
    <x v="0"/>
    <n v="550900"/>
    <n v="439629.91199999995"/>
    <n v="25045"/>
    <n v="26547.7"/>
    <n v="403411.60499999992"/>
  </r>
  <r>
    <x v="0"/>
    <x v="13"/>
    <x v="0"/>
    <n v="502500"/>
    <n v="399783.24"/>
    <n v="22775"/>
    <n v="24141.5"/>
    <n v="372578.57549999992"/>
  </r>
  <r>
    <x v="0"/>
    <x v="14"/>
    <x v="1"/>
    <n v="563100"/>
    <n v="506860.19999999995"/>
    <n v="28875"/>
    <n v="30607.5"/>
    <n v="520950.73599999986"/>
  </r>
  <r>
    <x v="1"/>
    <x v="15"/>
    <x v="0"/>
    <n v="442900"/>
    <n v="379947.67199999996"/>
    <n v="21645"/>
    <n v="22943.7"/>
    <n v="355576.31999999995"/>
  </r>
  <r>
    <x v="0"/>
    <x v="16"/>
    <x v="1"/>
    <n v="692900"/>
    <n v="501418.58399999997"/>
    <n v="28565"/>
    <n v="30278.9"/>
    <n v="466413.31999999995"/>
  </r>
  <r>
    <x v="0"/>
    <x v="17"/>
    <x v="1"/>
    <n v="416900"/>
    <n v="378543.38400000002"/>
    <n v="21565"/>
    <n v="22858.9"/>
    <n v="356277.81999999995"/>
  </r>
  <r>
    <x v="1"/>
    <x v="18"/>
    <x v="0"/>
    <n v="402900"/>
    <n v="444720.45600000001"/>
    <n v="25335"/>
    <n v="26855.100000000002"/>
    <n v="377736.70499999996"/>
  </r>
  <r>
    <x v="1"/>
    <x v="19"/>
    <x v="1"/>
    <n v="459900"/>
    <n v="462888.43199999997"/>
    <n v="26370"/>
    <n v="27952.2"/>
    <n v="458641.54179999995"/>
  </r>
  <r>
    <x v="1"/>
    <x v="20"/>
    <x v="1"/>
    <n v="1135000"/>
    <n v="907872.19200000004"/>
    <n v="51720"/>
    <n v="54823.200000000004"/>
    <n v="845307.5"/>
  </r>
  <r>
    <x v="1"/>
    <x v="21"/>
    <x v="0"/>
    <n v="356900"/>
    <n v="337029.12"/>
    <n v="19200"/>
    <n v="20352"/>
    <n v="322998.65999999997"/>
  </r>
  <r>
    <x v="1"/>
    <x v="22"/>
    <x v="0"/>
    <n v="423900"/>
    <n v="386705.80800000002"/>
    <n v="22030"/>
    <n v="23351.800000000003"/>
    <n v="380311.20999999996"/>
  </r>
  <r>
    <x v="0"/>
    <x v="23"/>
    <x v="2"/>
    <n v="1055900"/>
    <n v="720926.35200000007"/>
    <n v="41070"/>
    <n v="43534.200000000004"/>
    <n v="772183.1399999999"/>
  </r>
  <r>
    <x v="0"/>
    <x v="24"/>
    <x v="2"/>
    <n v="1524900"/>
    <n v="1303881.4080000001"/>
    <n v="74280"/>
    <n v="78736.800000000003"/>
    <n v="1210999.4499999997"/>
  </r>
  <r>
    <x v="0"/>
    <x v="25"/>
    <x v="1"/>
    <n v="610900"/>
    <n v="553552.77599999995"/>
    <n v="31535"/>
    <n v="33427.1"/>
    <n v="560008.57239999995"/>
  </r>
  <r>
    <x v="0"/>
    <x v="26"/>
    <x v="0"/>
    <n v="449900"/>
    <n v="406278.07199999999"/>
    <n v="23145"/>
    <n v="24533.7"/>
    <n v="384212.67239999998"/>
  </r>
  <r>
    <x v="1"/>
    <x v="27"/>
    <x v="2"/>
    <n v="839900"/>
    <n v="645884.71200000006"/>
    <n v="36795"/>
    <n v="39002.700000000004"/>
    <n v="701711.57239999995"/>
  </r>
  <r>
    <x v="0"/>
    <x v="28"/>
    <x v="1"/>
    <n v="891600"/>
    <n v="687311.20799999998"/>
    <n v="39155"/>
    <n v="41504.300000000003"/>
    <n v="673651.57239999995"/>
  </r>
  <r>
    <x v="1"/>
    <x v="29"/>
    <x v="0"/>
    <n v="424770"/>
    <n v="411807.45600000001"/>
    <n v="23460"/>
    <n v="24867.600000000002"/>
    <n v="386919.33999999997"/>
  </r>
  <r>
    <x v="1"/>
    <x v="30"/>
    <x v="1"/>
    <n v="814070"/>
    <n v="682483.96799999999"/>
    <n v="38880"/>
    <n v="41212.800000000003"/>
    <n v="676638.84"/>
  </r>
  <r>
    <x v="0"/>
    <x v="31"/>
    <x v="0"/>
    <n v="392900"/>
    <n v="393990.55199999997"/>
    <n v="22445"/>
    <n v="23791.7"/>
    <m/>
  </r>
  <r>
    <x v="0"/>
    <x v="32"/>
    <x v="0"/>
    <n v="333270"/>
    <n v="344752.70399999997"/>
    <n v="19640"/>
    <n v="20818.400000000001"/>
    <m/>
  </r>
  <r>
    <x v="0"/>
    <x v="33"/>
    <x v="1"/>
    <n v="538990"/>
    <n v="700651.94400000002"/>
    <n v="39915"/>
    <n v="42309.9"/>
    <m/>
  </r>
  <r>
    <x v="0"/>
    <x v="34"/>
    <x v="0"/>
    <n v="303900"/>
    <n v="358620.04799999995"/>
    <n v="20430"/>
    <n v="21655.8"/>
    <m/>
  </r>
  <r>
    <x v="0"/>
    <x v="35"/>
    <x v="1"/>
    <n v="392900"/>
    <n v="471226.39199999999"/>
    <n v="26845"/>
    <n v="28455.7"/>
    <m/>
  </r>
  <r>
    <x v="0"/>
    <x v="36"/>
    <x v="0"/>
    <n v="332900"/>
    <n v="386003.66399999999"/>
    <n v="21990"/>
    <n v="23309.4"/>
    <m/>
  </r>
  <r>
    <x v="0"/>
    <x v="37"/>
    <x v="0"/>
    <n v="444900"/>
    <n v="570492"/>
    <n v="32500"/>
    <n v="34450"/>
    <m/>
  </r>
  <r>
    <x v="0"/>
    <x v="38"/>
    <x v="1"/>
    <n v="589900"/>
    <n v="630964.152"/>
    <n v="35945"/>
    <n v="38101.700000000004"/>
    <m/>
  </r>
  <r>
    <x v="0"/>
    <x v="39"/>
    <x v="2"/>
    <n v="845800"/>
    <n v="781135.2"/>
    <n v="44500"/>
    <n v="47170"/>
    <m/>
  </r>
  <r>
    <x v="0"/>
    <x v="40"/>
    <x v="1"/>
    <n v="313000"/>
    <n v="391357.51199999999"/>
    <n v="22295"/>
    <n v="23632.7"/>
    <m/>
  </r>
  <r>
    <x v="0"/>
    <x v="41"/>
    <x v="1"/>
    <n v="1123700"/>
    <n v="953072.71199999994"/>
    <n v="54295"/>
    <n v="57552.700000000004"/>
    <m/>
  </r>
  <r>
    <x v="0"/>
    <x v="42"/>
    <x v="0"/>
    <n v="662800"/>
    <n v="482548.46399999998"/>
    <n v="27490"/>
    <n v="29139.4"/>
    <m/>
  </r>
  <r>
    <x v="0"/>
    <x v="43"/>
    <x v="2"/>
    <n v="972700"/>
    <n v="992041.70399999991"/>
    <n v="56515"/>
    <n v="59905.9"/>
    <m/>
  </r>
  <r>
    <x v="0"/>
    <x v="44"/>
    <x v="1"/>
    <n v="1357400"/>
    <n v="1193557.0319999999"/>
    <n v="67995"/>
    <n v="72074.7"/>
    <m/>
  </r>
  <r>
    <x v="0"/>
    <x v="45"/>
    <x v="2"/>
    <n v="1226100"/>
    <n v="1018108.7999999999"/>
    <n v="58000"/>
    <n v="61480"/>
    <m/>
  </r>
  <r>
    <x v="0"/>
    <x v="46"/>
    <x v="1"/>
    <n v="429900"/>
    <n v="448845.55199999997"/>
    <n v="25570"/>
    <n v="27104.2"/>
    <m/>
  </r>
  <r>
    <x v="0"/>
    <x v="47"/>
    <x v="0"/>
    <n v="334900"/>
    <n v="425762.56800000003"/>
    <n v="24255"/>
    <n v="25710.300000000003"/>
    <m/>
  </r>
  <r>
    <x v="0"/>
    <x v="48"/>
    <x v="1"/>
    <n v="372400"/>
    <n v="416897.99999999994"/>
    <n v="23750"/>
    <n v="25175"/>
    <m/>
  </r>
  <r>
    <x v="0"/>
    <x v="49"/>
    <x v="1"/>
    <n v="355000"/>
    <n v="595944.72"/>
    <n v="33950"/>
    <n v="35987"/>
    <m/>
  </r>
  <r>
    <x v="0"/>
    <x v="50"/>
    <x v="1"/>
    <n v="454900"/>
    <n v="438839.99999999994"/>
    <n v="25000"/>
    <n v="26500"/>
    <m/>
  </r>
  <r>
    <x v="0"/>
    <x v="51"/>
    <x v="1"/>
    <n v="859900"/>
    <n v="695034.79200000002"/>
    <n v="39595"/>
    <n v="41970.700000000004"/>
    <m/>
  </r>
  <r>
    <x v="0"/>
    <x v="52"/>
    <x v="2"/>
    <n v="1099900"/>
    <n v="1000379.664"/>
    <n v="56990"/>
    <n v="60409.4"/>
    <m/>
  </r>
  <r>
    <x v="0"/>
    <x v="53"/>
    <x v="0"/>
    <n v="329900"/>
    <n v="352651.82400000002"/>
    <n v="20090"/>
    <n v="21295.4"/>
    <m/>
  </r>
  <r>
    <x v="0"/>
    <x v="54"/>
    <x v="2"/>
    <n v="662800"/>
    <n v="473420.592"/>
    <n v="26970"/>
    <n v="28588.2"/>
    <m/>
  </r>
  <r>
    <x v="0"/>
    <x v="55"/>
    <x v="1"/>
    <n v="558100"/>
    <n v="618852.16799999995"/>
    <n v="35255"/>
    <n v="37370.300000000003"/>
    <m/>
  </r>
  <r>
    <x v="0"/>
    <x v="56"/>
    <x v="0"/>
    <n v="216800"/>
    <n v="234954.93599999999"/>
    <n v="13385"/>
    <n v="14188.1"/>
    <m/>
  </r>
  <r>
    <x v="0"/>
    <x v="57"/>
    <x v="0"/>
    <n v="262800"/>
    <n v="332026.34399999998"/>
    <n v="18915"/>
    <n v="20049.900000000001"/>
    <m/>
  </r>
  <r>
    <x v="0"/>
    <x v="58"/>
    <x v="2"/>
    <n v="551900"/>
    <n v="605160.36"/>
    <n v="34475"/>
    <n v="36543.5"/>
    <m/>
  </r>
  <r>
    <x v="0"/>
    <x v="59"/>
    <x v="1"/>
    <n v="459100"/>
    <n v="481846.31999999995"/>
    <n v="27450"/>
    <n v="29097"/>
    <m/>
  </r>
  <r>
    <x v="0"/>
    <x v="60"/>
    <x v="1"/>
    <n v="618000"/>
    <n v="530382.02399999998"/>
    <n v="30215"/>
    <n v="32027.9"/>
    <m/>
  </r>
  <r>
    <x v="0"/>
    <x v="61"/>
    <x v="2"/>
    <n v="750000"/>
    <n v="497381.25599999999"/>
    <n v="28335"/>
    <n v="30035.10000000000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x v="0"/>
    <x v="0"/>
    <x v="0"/>
    <n v="699900"/>
    <n v="647640.07200000004"/>
    <n v="36895"/>
    <n v="39108.700000000004"/>
    <n v="621739.44999999984"/>
  </r>
  <r>
    <x v="0"/>
    <x v="1"/>
    <x v="1"/>
    <n v="1170000"/>
    <n v="728386.63199999998"/>
    <n v="41495"/>
    <n v="43984.700000000004"/>
    <n v="710409.04999999981"/>
  </r>
  <r>
    <x v="1"/>
    <x v="2"/>
    <x v="2"/>
    <n v="1106400"/>
    <n v="983089.36800000002"/>
    <n v="56005"/>
    <n v="59365.3"/>
    <n v="878207.85"/>
  </r>
  <r>
    <x v="0"/>
    <x v="3"/>
    <x v="1"/>
    <n v="507000"/>
    <n v="401714.136"/>
    <n v="22885"/>
    <n v="24258.100000000002"/>
    <n v="363699.68999999994"/>
  </r>
  <r>
    <x v="0"/>
    <x v="4"/>
    <x v="1"/>
    <n v="1702600"/>
    <n v="1184780.2319999998"/>
    <n v="67495"/>
    <n v="71544.7"/>
    <n v="1233938.4999999998"/>
  </r>
  <r>
    <x v="0"/>
    <x v="5"/>
    <x v="0"/>
    <n v="1008000"/>
    <n v="701792.92799999996"/>
    <n v="39980"/>
    <n v="42378.8"/>
    <n v="662566.74999999988"/>
  </r>
  <r>
    <x v="0"/>
    <x v="6"/>
    <x v="2"/>
    <n v="1534900"/>
    <n v="1465901.1359999999"/>
    <n v="83510"/>
    <n v="88520.6"/>
    <n v="1486927.4599999997"/>
  </r>
  <r>
    <x v="1"/>
    <x v="7"/>
    <x v="2"/>
    <n v="802000"/>
    <n v="668616.62399999995"/>
    <n v="38090"/>
    <n v="40375.4"/>
    <n v="656814.44999999984"/>
  </r>
  <r>
    <x v="0"/>
    <x v="8"/>
    <x v="1"/>
    <n v="743000"/>
    <n v="587518.99199999997"/>
    <n v="33470"/>
    <n v="35478.200000000004"/>
    <n v="577895.69999999984"/>
  </r>
  <r>
    <x v="1"/>
    <x v="9"/>
    <x v="2"/>
    <n v="1739900"/>
    <n v="1398056.4719999998"/>
    <n v="79645"/>
    <n v="84423.7"/>
    <n v="1381113.1999999997"/>
  </r>
  <r>
    <x v="0"/>
    <x v="10"/>
    <x v="2"/>
    <n v="2173900"/>
    <n v="1577542.0320000001"/>
    <n v="89870"/>
    <n v="95262.200000000012"/>
    <n v="1665894.1399999997"/>
  </r>
  <r>
    <x v="0"/>
    <x v="11"/>
    <x v="1"/>
    <n v="739900"/>
    <n v="573125.03999999992"/>
    <n v="32650"/>
    <n v="34609"/>
    <n v="564344.12299999991"/>
  </r>
  <r>
    <x v="0"/>
    <x v="12"/>
    <x v="0"/>
    <n v="550900"/>
    <n v="439629.91199999995"/>
    <n v="25045"/>
    <n v="26547.7"/>
    <n v="403411.60499999992"/>
  </r>
  <r>
    <x v="0"/>
    <x v="13"/>
    <x v="0"/>
    <n v="502500"/>
    <n v="399783.24"/>
    <n v="22775"/>
    <n v="24141.5"/>
    <n v="372578.57549999992"/>
  </r>
  <r>
    <x v="0"/>
    <x v="14"/>
    <x v="1"/>
    <n v="563100"/>
    <n v="506860.19999999995"/>
    <n v="28875"/>
    <n v="30607.5"/>
    <n v="520950.73599999986"/>
  </r>
  <r>
    <x v="1"/>
    <x v="15"/>
    <x v="0"/>
    <n v="442900"/>
    <n v="379947.67199999996"/>
    <n v="21645"/>
    <n v="22943.7"/>
    <n v="355576.31999999995"/>
  </r>
  <r>
    <x v="0"/>
    <x v="16"/>
    <x v="1"/>
    <n v="692900"/>
    <n v="501418.58399999997"/>
    <n v="28565"/>
    <n v="30278.9"/>
    <n v="466413.31999999995"/>
  </r>
  <r>
    <x v="0"/>
    <x v="17"/>
    <x v="1"/>
    <n v="416900"/>
    <n v="378543.38400000002"/>
    <n v="21565"/>
    <n v="22858.9"/>
    <n v="356277.81999999995"/>
  </r>
  <r>
    <x v="1"/>
    <x v="18"/>
    <x v="0"/>
    <n v="402900"/>
    <n v="444720.45600000001"/>
    <n v="25335"/>
    <n v="26855.100000000002"/>
    <n v="377736.70499999996"/>
  </r>
  <r>
    <x v="1"/>
    <x v="19"/>
    <x v="1"/>
    <n v="459900"/>
    <n v="462888.43199999997"/>
    <n v="26370"/>
    <n v="27952.2"/>
    <n v="458641.54179999995"/>
  </r>
  <r>
    <x v="1"/>
    <x v="20"/>
    <x v="1"/>
    <n v="1135000"/>
    <n v="907872.19200000004"/>
    <n v="51720"/>
    <n v="54823.200000000004"/>
    <n v="845307.5"/>
  </r>
  <r>
    <x v="1"/>
    <x v="21"/>
    <x v="0"/>
    <n v="356900"/>
    <n v="337029.12"/>
    <n v="19200"/>
    <n v="20352"/>
    <n v="322998.65999999997"/>
  </r>
  <r>
    <x v="1"/>
    <x v="22"/>
    <x v="0"/>
    <n v="423900"/>
    <n v="386705.80800000002"/>
    <n v="22030"/>
    <n v="23351.800000000003"/>
    <n v="380311.20999999996"/>
  </r>
  <r>
    <x v="0"/>
    <x v="23"/>
    <x v="2"/>
    <n v="1055900"/>
    <n v="720926.35200000007"/>
    <n v="41070"/>
    <n v="43534.200000000004"/>
    <n v="772183.1399999999"/>
  </r>
  <r>
    <x v="0"/>
    <x v="24"/>
    <x v="2"/>
    <n v="1524900"/>
    <n v="1303881.4080000001"/>
    <n v="74280"/>
    <n v="78736.800000000003"/>
    <n v="1210999.4499999997"/>
  </r>
  <r>
    <x v="0"/>
    <x v="25"/>
    <x v="1"/>
    <n v="610900"/>
    <n v="553552.77599999995"/>
    <n v="31535"/>
    <n v="33427.1"/>
    <n v="560008.57239999995"/>
  </r>
  <r>
    <x v="0"/>
    <x v="26"/>
    <x v="0"/>
    <n v="449900"/>
    <n v="406278.07199999999"/>
    <n v="23145"/>
    <n v="24533.7"/>
    <n v="384212.67239999998"/>
  </r>
  <r>
    <x v="1"/>
    <x v="27"/>
    <x v="2"/>
    <n v="839900"/>
    <n v="645884.71200000006"/>
    <n v="36795"/>
    <n v="39002.700000000004"/>
    <n v="701711.57239999995"/>
  </r>
  <r>
    <x v="0"/>
    <x v="28"/>
    <x v="1"/>
    <n v="891600"/>
    <n v="687311.20799999998"/>
    <n v="39155"/>
    <n v="41504.300000000003"/>
    <n v="673651.57239999995"/>
  </r>
  <r>
    <x v="1"/>
    <x v="29"/>
    <x v="0"/>
    <n v="424770"/>
    <n v="411807.45600000001"/>
    <n v="23460"/>
    <n v="24867.600000000002"/>
    <n v="386919.33999999997"/>
  </r>
  <r>
    <x v="1"/>
    <x v="30"/>
    <x v="1"/>
    <n v="814070"/>
    <n v="682483.96799999999"/>
    <n v="38880"/>
    <n v="41212.800000000003"/>
    <n v="676638.8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2024"/>
    <s v="Cadillac"/>
    <s v="Escalade"/>
    <s v="SUV Premium Luxury"/>
    <x v="0"/>
    <x v="0"/>
    <m/>
    <n v="16.87"/>
    <n v="12.53"/>
    <x v="0"/>
    <x v="0"/>
    <x v="0"/>
    <x v="0"/>
    <n v="0"/>
    <x v="0"/>
    <x v="0"/>
    <m/>
    <m/>
  </r>
  <r>
    <n v="2023"/>
    <s v="Chevrolet"/>
    <s v="Silverado / Cheyenne"/>
    <s v="LT"/>
    <x v="1"/>
    <x v="1"/>
    <n v="6807"/>
    <n v="16.87"/>
    <n v="12.53"/>
    <x v="1"/>
    <x v="1"/>
    <x v="1"/>
    <x v="1"/>
    <s v="No discounts"/>
    <x v="1"/>
    <x v="1"/>
    <s v="Mexico"/>
    <s v="MX price is from dealership list from December, $ USA&amp;CAD are latest on web page, both are configured to MX spec / Silverado is the Cheyenne from México"/>
  </r>
  <r>
    <n v="2023"/>
    <s v="Chevrolet"/>
    <s v="Suburban"/>
    <s v="LT"/>
    <x v="2"/>
    <x v="0"/>
    <m/>
    <n v="16.87"/>
    <n v="12.53"/>
    <x v="2"/>
    <x v="2"/>
    <x v="2"/>
    <x v="2"/>
    <s v="160000 paying cash"/>
    <x v="2"/>
    <x v="2"/>
    <m/>
    <m/>
  </r>
  <r>
    <n v="2023"/>
    <s v="Ford"/>
    <s v="F-150"/>
    <s v="XLT 4x2"/>
    <x v="3"/>
    <x v="1"/>
    <n v="4770"/>
    <n v="16.87"/>
    <n v="12.53"/>
    <x v="3"/>
    <x v="3"/>
    <x v="3"/>
    <x v="3"/>
    <s v="98000 cash"/>
    <x v="3"/>
    <x v="3"/>
    <m/>
    <m/>
  </r>
  <r>
    <n v="2023"/>
    <s v="Ford"/>
    <s v="F-150"/>
    <s v="Platinum"/>
    <x v="4"/>
    <x v="1"/>
    <m/>
    <n v="16.87"/>
    <n v="12.53"/>
    <x v="4"/>
    <x v="4"/>
    <x v="4"/>
    <x v="4"/>
    <n v="290000"/>
    <x v="4"/>
    <x v="4"/>
    <m/>
    <m/>
  </r>
  <r>
    <n v="2023"/>
    <s v="Ford"/>
    <s v="F-150"/>
    <s v="Raptor"/>
    <x v="5"/>
    <x v="1"/>
    <m/>
    <n v="16.87"/>
    <n v="12.53"/>
    <x v="5"/>
    <x v="5"/>
    <x v="5"/>
    <x v="5"/>
    <n v="10000"/>
    <x v="5"/>
    <x v="5"/>
    <m/>
    <s v="The rows in blue are vehicles more oriented to export"/>
  </r>
  <r>
    <n v="2024"/>
    <s v="Ford"/>
    <s v="F-250"/>
    <s v="Super Duty XLT"/>
    <x v="6"/>
    <x v="1"/>
    <m/>
    <n v="16.87"/>
    <n v="12.53"/>
    <x v="6"/>
    <x v="6"/>
    <x v="6"/>
    <x v="6"/>
    <n v="0"/>
    <x v="6"/>
    <x v="6"/>
    <m/>
    <m/>
  </r>
  <r>
    <n v="2024"/>
    <s v="Ford"/>
    <s v="Mustang"/>
    <s v="GT V8 AT/ GT Premium Fastback"/>
    <x v="7"/>
    <x v="2"/>
    <m/>
    <n v="16.87"/>
    <n v="12.53"/>
    <x v="7"/>
    <x v="7"/>
    <x v="7"/>
    <x v="7"/>
    <n v="0"/>
    <x v="7"/>
    <x v="7"/>
    <m/>
    <m/>
  </r>
  <r>
    <n v="2024"/>
    <s v="GMC"/>
    <s v="Yukon"/>
    <s v="Denali"/>
    <x v="8"/>
    <x v="0"/>
    <m/>
    <n v="16.87"/>
    <n v="12.53"/>
    <x v="8"/>
    <x v="8"/>
    <x v="8"/>
    <x v="8"/>
    <n v="0"/>
    <x v="8"/>
    <x v="8"/>
    <m/>
    <m/>
  </r>
  <r>
    <n v="2024"/>
    <s v="Honda"/>
    <s v="CR-V"/>
    <s v="LX 2WD"/>
    <x v="9"/>
    <x v="0"/>
    <n v="12405"/>
    <n v="16.87"/>
    <n v="12.53"/>
    <x v="9"/>
    <x v="9"/>
    <x v="9"/>
    <x v="9"/>
    <n v="0"/>
    <x v="9"/>
    <x v="9"/>
    <m/>
    <m/>
  </r>
  <r>
    <n v="2023"/>
    <s v="Hyundai"/>
    <s v="Tucson"/>
    <s v="Ltd Tech/SEL/Preffered"/>
    <x v="10"/>
    <x v="0"/>
    <n v="7034"/>
    <n v="16.87"/>
    <n v="12.53"/>
    <x v="10"/>
    <x v="10"/>
    <x v="10"/>
    <x v="10"/>
    <n v="0"/>
    <x v="10"/>
    <x v="10"/>
    <m/>
    <s v="This is the most unfair comparison, In canada all are AWD, MX and USA are 2WD"/>
  </r>
  <r>
    <n v="2024"/>
    <s v="JEEP"/>
    <s v="Wrangler"/>
    <s v="Rubicon 2 door"/>
    <x v="11"/>
    <x v="0"/>
    <m/>
    <n v="16.87"/>
    <n v="12.53"/>
    <x v="11"/>
    <x v="11"/>
    <x v="11"/>
    <x v="11"/>
    <n v="0"/>
    <x v="11"/>
    <x v="11"/>
    <m/>
    <m/>
  </r>
  <r>
    <n v="2023"/>
    <s v="KIA"/>
    <s v="Rio"/>
    <s v="5door HB"/>
    <x v="12"/>
    <x v="2"/>
    <n v="28534"/>
    <n v="16.87"/>
    <n v="12.53"/>
    <x v="12"/>
    <x v="12"/>
    <x v="12"/>
    <x v="12"/>
    <n v="0"/>
    <x v="12"/>
    <x v="12"/>
    <s v="Mexico"/>
    <m/>
  </r>
  <r>
    <n v="2024"/>
    <s v="Nissan"/>
    <s v="Versa"/>
    <s v="Sense CVT"/>
    <x v="13"/>
    <x v="2"/>
    <n v="76926"/>
    <n v="16.87"/>
    <n v="12.53"/>
    <x v="13"/>
    <x v="13"/>
    <x v="13"/>
    <x v="13"/>
    <n v="0"/>
    <x v="13"/>
    <x v="13"/>
    <s v="Mexico"/>
    <s v="Sales number source: INEGI (Verified)"/>
  </r>
  <r>
    <n v="2024"/>
    <s v="RAM"/>
    <n v="1500"/>
    <s v="Limited"/>
    <x v="14"/>
    <x v="1"/>
    <m/>
    <n v="16.87"/>
    <n v="12.53"/>
    <x v="14"/>
    <x v="14"/>
    <x v="14"/>
    <x v="14"/>
    <n v="0"/>
    <x v="14"/>
    <x v="14"/>
    <m/>
    <m/>
  </r>
  <r>
    <n v="2024"/>
    <s v="Toyota"/>
    <s v="Rav4"/>
    <s v="LE FWD GAS"/>
    <x v="15"/>
    <x v="0"/>
    <n v="15438"/>
    <n v="16.87"/>
    <n v="12.53"/>
    <x v="15"/>
    <x v="15"/>
    <x v="15"/>
    <x v="15"/>
    <n v="0"/>
    <x v="15"/>
    <x v="15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x v="0"/>
    <x v="0"/>
    <n v="699900"/>
    <n v="647640.07200000004"/>
    <n v="36895"/>
    <n v="39108.700000000004"/>
    <n v="621739.44999999984"/>
  </r>
  <r>
    <x v="0"/>
    <x v="1"/>
    <x v="1"/>
    <n v="1170000"/>
    <n v="728386.63199999998"/>
    <n v="41495"/>
    <n v="43984.700000000004"/>
    <n v="710409.04999999981"/>
  </r>
  <r>
    <x v="1"/>
    <x v="2"/>
    <x v="2"/>
    <n v="1106400"/>
    <n v="983089.36800000002"/>
    <n v="56005"/>
    <n v="59365.3"/>
    <n v="878207.85"/>
  </r>
  <r>
    <x v="0"/>
    <x v="3"/>
    <x v="1"/>
    <n v="507000"/>
    <n v="401714.136"/>
    <n v="22885"/>
    <n v="24258.100000000002"/>
    <n v="363699.68999999994"/>
  </r>
  <r>
    <x v="0"/>
    <x v="4"/>
    <x v="1"/>
    <n v="1702600"/>
    <n v="1184780.2319999998"/>
    <n v="67495"/>
    <n v="71544.7"/>
    <n v="1233938.4999999998"/>
  </r>
  <r>
    <x v="0"/>
    <x v="5"/>
    <x v="0"/>
    <n v="1008000"/>
    <n v="701792.92799999996"/>
    <n v="39980"/>
    <n v="42378.8"/>
    <n v="662566.74999999988"/>
  </r>
  <r>
    <x v="0"/>
    <x v="6"/>
    <x v="2"/>
    <n v="1534900"/>
    <n v="1465901.1359999999"/>
    <n v="83510"/>
    <n v="88520.6"/>
    <n v="1486927.4599999997"/>
  </r>
  <r>
    <x v="1"/>
    <x v="7"/>
    <x v="2"/>
    <n v="802000"/>
    <n v="668616.62399999995"/>
    <n v="38090"/>
    <n v="40375.4"/>
    <n v="656814.44999999984"/>
  </r>
  <r>
    <x v="0"/>
    <x v="8"/>
    <x v="1"/>
    <n v="743000"/>
    <n v="587518.99199999997"/>
    <n v="33470"/>
    <n v="35478.200000000004"/>
    <n v="577895.69999999984"/>
  </r>
  <r>
    <x v="1"/>
    <x v="9"/>
    <x v="2"/>
    <n v="1739900"/>
    <n v="1398056.4719999998"/>
    <n v="79645"/>
    <n v="84423.7"/>
    <n v="1381113.1999999997"/>
  </r>
  <r>
    <x v="0"/>
    <x v="10"/>
    <x v="2"/>
    <n v="2173900"/>
    <n v="1577542.0320000001"/>
    <n v="89870"/>
    <n v="95262.200000000012"/>
    <n v="1665894.1399999997"/>
  </r>
  <r>
    <x v="0"/>
    <x v="11"/>
    <x v="1"/>
    <n v="739900"/>
    <n v="573125.03999999992"/>
    <n v="32650"/>
    <n v="34609"/>
    <n v="564344.12299999991"/>
  </r>
  <r>
    <x v="0"/>
    <x v="12"/>
    <x v="0"/>
    <n v="550900"/>
    <n v="439629.91199999995"/>
    <n v="25045"/>
    <n v="26547.7"/>
    <n v="403411.60499999992"/>
  </r>
  <r>
    <x v="0"/>
    <x v="13"/>
    <x v="0"/>
    <n v="502500"/>
    <n v="399783.24"/>
    <n v="22775"/>
    <n v="24141.5"/>
    <n v="372578.57549999992"/>
  </r>
  <r>
    <x v="0"/>
    <x v="14"/>
    <x v="1"/>
    <n v="563100"/>
    <n v="506860.19999999995"/>
    <n v="28875"/>
    <n v="30607.5"/>
    <n v="520950.73599999986"/>
  </r>
  <r>
    <x v="1"/>
    <x v="15"/>
    <x v="0"/>
    <n v="442900"/>
    <n v="379947.67199999996"/>
    <n v="21645"/>
    <n v="22943.7"/>
    <n v="355576.31999999995"/>
  </r>
  <r>
    <x v="0"/>
    <x v="16"/>
    <x v="1"/>
    <n v="692900"/>
    <n v="501418.58399999997"/>
    <n v="28565"/>
    <n v="30278.9"/>
    <n v="466413.31999999995"/>
  </r>
  <r>
    <x v="0"/>
    <x v="17"/>
    <x v="1"/>
    <n v="416900"/>
    <n v="378543.38400000002"/>
    <n v="21565"/>
    <n v="22858.9"/>
    <n v="356277.81999999995"/>
  </r>
  <r>
    <x v="1"/>
    <x v="18"/>
    <x v="0"/>
    <n v="402900"/>
    <n v="444720.45600000001"/>
    <n v="25335"/>
    <n v="26855.100000000002"/>
    <n v="377736.70499999996"/>
  </r>
  <r>
    <x v="1"/>
    <x v="19"/>
    <x v="1"/>
    <n v="459900"/>
    <n v="462888.43199999997"/>
    <n v="26370"/>
    <n v="27952.2"/>
    <n v="458641.54179999995"/>
  </r>
  <r>
    <x v="1"/>
    <x v="20"/>
    <x v="1"/>
    <n v="1135000"/>
    <n v="907872.19200000004"/>
    <n v="51720"/>
    <n v="54823.200000000004"/>
    <n v="845307.5"/>
  </r>
  <r>
    <x v="1"/>
    <x v="21"/>
    <x v="0"/>
    <n v="356900"/>
    <n v="337029.12"/>
    <n v="19200"/>
    <n v="20352"/>
    <n v="322998.65999999997"/>
  </r>
  <r>
    <x v="1"/>
    <x v="22"/>
    <x v="0"/>
    <n v="423900"/>
    <n v="386705.80800000002"/>
    <n v="22030"/>
    <n v="23351.800000000003"/>
    <n v="380311.20999999996"/>
  </r>
  <r>
    <x v="0"/>
    <x v="23"/>
    <x v="2"/>
    <n v="1055900"/>
    <n v="720926.35200000007"/>
    <n v="41070"/>
    <n v="43534.200000000004"/>
    <n v="772183.1399999999"/>
  </r>
  <r>
    <x v="0"/>
    <x v="24"/>
    <x v="2"/>
    <n v="1524900"/>
    <n v="1303881.4080000001"/>
    <n v="74280"/>
    <n v="78736.800000000003"/>
    <n v="1210999.4499999997"/>
  </r>
  <r>
    <x v="0"/>
    <x v="25"/>
    <x v="1"/>
    <n v="610900"/>
    <n v="553552.77599999995"/>
    <n v="31535"/>
    <n v="33427.1"/>
    <n v="560008.57239999995"/>
  </r>
  <r>
    <x v="0"/>
    <x v="26"/>
    <x v="0"/>
    <n v="449900"/>
    <n v="406278.07199999999"/>
    <n v="23145"/>
    <n v="24533.7"/>
    <n v="384212.67239999998"/>
  </r>
  <r>
    <x v="1"/>
    <x v="27"/>
    <x v="2"/>
    <n v="839900"/>
    <n v="645884.71200000006"/>
    <n v="36795"/>
    <n v="39002.700000000004"/>
    <n v="701711.57239999995"/>
  </r>
  <r>
    <x v="0"/>
    <x v="28"/>
    <x v="1"/>
    <n v="891600"/>
    <n v="687311.20799999998"/>
    <n v="39155"/>
    <n v="41504.300000000003"/>
    <n v="673651.57239999995"/>
  </r>
  <r>
    <x v="1"/>
    <x v="29"/>
    <x v="0"/>
    <n v="424770"/>
    <n v="411807.45600000001"/>
    <n v="23460"/>
    <n v="24867.600000000002"/>
    <n v="386919.33999999997"/>
  </r>
  <r>
    <x v="1"/>
    <x v="30"/>
    <x v="1"/>
    <n v="814070"/>
    <n v="682483.96799999999"/>
    <n v="38880"/>
    <n v="41212.800000000003"/>
    <n v="676638.84"/>
  </r>
  <r>
    <x v="0"/>
    <x v="31"/>
    <x v="0"/>
    <n v="392900"/>
    <n v="393990.55199999997"/>
    <n v="22445"/>
    <n v="23791.7"/>
    <m/>
  </r>
  <r>
    <x v="0"/>
    <x v="32"/>
    <x v="0"/>
    <n v="333270"/>
    <n v="344752.70399999997"/>
    <n v="19640"/>
    <n v="20818.400000000001"/>
    <m/>
  </r>
  <r>
    <x v="0"/>
    <x v="33"/>
    <x v="1"/>
    <n v="538990"/>
    <n v="700651.94400000002"/>
    <n v="39915"/>
    <n v="42309.9"/>
    <m/>
  </r>
  <r>
    <x v="0"/>
    <x v="34"/>
    <x v="0"/>
    <n v="303900"/>
    <n v="358620.04799999995"/>
    <n v="20430"/>
    <n v="21655.8"/>
    <m/>
  </r>
  <r>
    <x v="0"/>
    <x v="35"/>
    <x v="1"/>
    <n v="392900"/>
    <n v="471226.39199999999"/>
    <n v="26845"/>
    <n v="28455.7"/>
    <m/>
  </r>
  <r>
    <x v="0"/>
    <x v="36"/>
    <x v="0"/>
    <n v="332900"/>
    <n v="386003.66399999999"/>
    <n v="21990"/>
    <n v="23309.4"/>
    <m/>
  </r>
  <r>
    <x v="0"/>
    <x v="37"/>
    <x v="0"/>
    <n v="444900"/>
    <n v="570492"/>
    <n v="32500"/>
    <n v="34450"/>
    <m/>
  </r>
  <r>
    <x v="0"/>
    <x v="38"/>
    <x v="1"/>
    <n v="589900"/>
    <n v="630964.152"/>
    <n v="35945"/>
    <n v="38101.700000000004"/>
    <m/>
  </r>
  <r>
    <x v="0"/>
    <x v="39"/>
    <x v="2"/>
    <n v="845800"/>
    <n v="781135.2"/>
    <n v="44500"/>
    <n v="47170"/>
    <m/>
  </r>
  <r>
    <x v="0"/>
    <x v="40"/>
    <x v="1"/>
    <n v="313000"/>
    <n v="391357.51199999999"/>
    <n v="22295"/>
    <n v="23632.7"/>
    <m/>
  </r>
  <r>
    <x v="0"/>
    <x v="41"/>
    <x v="1"/>
    <n v="1123700"/>
    <n v="953072.71199999994"/>
    <n v="54295"/>
    <n v="57552.700000000004"/>
    <m/>
  </r>
  <r>
    <x v="0"/>
    <x v="42"/>
    <x v="0"/>
    <n v="662800"/>
    <n v="482548.46399999998"/>
    <n v="27490"/>
    <n v="29139.4"/>
    <m/>
  </r>
  <r>
    <x v="0"/>
    <x v="43"/>
    <x v="2"/>
    <n v="972700"/>
    <n v="992041.70399999991"/>
    <n v="56515"/>
    <n v="59905.9"/>
    <m/>
  </r>
  <r>
    <x v="0"/>
    <x v="44"/>
    <x v="1"/>
    <n v="1357400"/>
    <n v="1193557.0319999999"/>
    <n v="67995"/>
    <n v="72074.7"/>
    <m/>
  </r>
  <r>
    <x v="0"/>
    <x v="45"/>
    <x v="2"/>
    <n v="1226100"/>
    <n v="1018108.7999999999"/>
    <n v="58000"/>
    <n v="61480"/>
    <m/>
  </r>
  <r>
    <x v="0"/>
    <x v="46"/>
    <x v="1"/>
    <n v="429900"/>
    <n v="448845.55199999997"/>
    <n v="25570"/>
    <n v="27104.2"/>
    <m/>
  </r>
  <r>
    <x v="0"/>
    <x v="47"/>
    <x v="0"/>
    <n v="334900"/>
    <n v="425762.56800000003"/>
    <n v="24255"/>
    <n v="25710.300000000003"/>
    <m/>
  </r>
  <r>
    <x v="0"/>
    <x v="48"/>
    <x v="1"/>
    <n v="372400"/>
    <n v="416897.99999999994"/>
    <n v="23750"/>
    <n v="25175"/>
    <m/>
  </r>
  <r>
    <x v="0"/>
    <x v="49"/>
    <x v="1"/>
    <n v="355000"/>
    <n v="595944.72"/>
    <n v="33950"/>
    <n v="35987"/>
    <m/>
  </r>
  <r>
    <x v="0"/>
    <x v="50"/>
    <x v="1"/>
    <n v="454900"/>
    <n v="438839.99999999994"/>
    <n v="25000"/>
    <n v="26500"/>
    <m/>
  </r>
  <r>
    <x v="0"/>
    <x v="51"/>
    <x v="1"/>
    <n v="859900"/>
    <n v="695034.79200000002"/>
    <n v="39595"/>
    <n v="41970.700000000004"/>
    <m/>
  </r>
  <r>
    <x v="0"/>
    <x v="52"/>
    <x v="2"/>
    <n v="1099900"/>
    <n v="1000379.664"/>
    <n v="56990"/>
    <n v="60409.4"/>
    <m/>
  </r>
  <r>
    <x v="0"/>
    <x v="53"/>
    <x v="0"/>
    <n v="329900"/>
    <n v="352651.82400000002"/>
    <n v="20090"/>
    <n v="21295.4"/>
    <m/>
  </r>
  <r>
    <x v="0"/>
    <x v="54"/>
    <x v="2"/>
    <n v="662800"/>
    <n v="473420.592"/>
    <n v="26970"/>
    <n v="28588.2"/>
    <m/>
  </r>
  <r>
    <x v="0"/>
    <x v="55"/>
    <x v="1"/>
    <n v="558100"/>
    <n v="618852.16799999995"/>
    <n v="35255"/>
    <n v="37370.300000000003"/>
    <m/>
  </r>
  <r>
    <x v="0"/>
    <x v="56"/>
    <x v="0"/>
    <n v="216800"/>
    <n v="234954.93599999999"/>
    <n v="13385"/>
    <n v="14188.1"/>
    <m/>
  </r>
  <r>
    <x v="0"/>
    <x v="57"/>
    <x v="0"/>
    <n v="262800"/>
    <n v="332026.34399999998"/>
    <n v="18915"/>
    <n v="20049.900000000001"/>
    <m/>
  </r>
  <r>
    <x v="0"/>
    <x v="58"/>
    <x v="2"/>
    <n v="551900"/>
    <n v="605160.36"/>
    <n v="34475"/>
    <n v="36543.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4A5C8C-466B-4298-9EA3-4CB97364F054}" name="TablaDinámica1" cacheId="2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1">
  <location ref="U8:X25" firstHeaderRow="0" firstDataRow="1" firstDataCol="1" rowPageCount="3" colPageCount="1"/>
  <pivotFields count="18">
    <pivotField showAll="0"/>
    <pivotField showAll="0"/>
    <pivotField showAll="0"/>
    <pivotField showAll="0"/>
    <pivotField axis="axisRow" showAll="0" sortType="ascending">
      <items count="26">
        <item sd="0" x="1"/>
        <item sd="0" x="4"/>
        <item sd="0" x="5"/>
        <item sd="0" m="1" x="20"/>
        <item sd="0" m="1" x="22"/>
        <item sd="0" x="12"/>
        <item sd="0" m="1" x="24"/>
        <item sd="0" m="1" x="18"/>
        <item sd="0" m="1" x="21"/>
        <item sd="0" x="7"/>
        <item sd="0" x="9"/>
        <item sd="0" m="1" x="16"/>
        <item sd="0" x="13"/>
        <item sd="0" x="14"/>
        <item sd="0" m="1" x="17"/>
        <item sd="0" m="1" x="23"/>
        <item sd="0" x="15"/>
        <item sd="0" x="3"/>
        <item sd="0" x="6"/>
        <item sd="0" x="10"/>
        <item sd="0" m="1" x="19"/>
        <item sd="0" x="0"/>
        <item sd="0" x="2"/>
        <item sd="0" x="8"/>
        <item sd="0" x="1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4">
        <item x="1"/>
        <item x="2"/>
        <item x="0"/>
        <item t="default"/>
      </items>
    </pivotField>
    <pivotField showAll="0"/>
    <pivotField numFmtId="44" showAll="0"/>
    <pivotField numFmtId="44" showAll="0"/>
    <pivotField axis="axisPage" dataField="1" numFmtId="3" showAll="0">
      <items count="20">
        <item x="13"/>
        <item m="1" x="17"/>
        <item m="1" x="16"/>
        <item x="12"/>
        <item x="15"/>
        <item x="9"/>
        <item x="10"/>
        <item m="1" x="18"/>
        <item x="1"/>
        <item x="3"/>
        <item x="7"/>
        <item x="6"/>
        <item x="11"/>
        <item x="14"/>
        <item x="4"/>
        <item x="5"/>
        <item x="0"/>
        <item x="2"/>
        <item x="8"/>
        <item t="default"/>
      </items>
    </pivotField>
    <pivotField axis="axisPage" dataField="1" numFmtId="3" showAll="0">
      <items count="20">
        <item x="12"/>
        <item x="13"/>
        <item m="1" x="17"/>
        <item m="1" x="16"/>
        <item x="15"/>
        <item x="9"/>
        <item x="10"/>
        <item m="1" x="18"/>
        <item x="3"/>
        <item x="7"/>
        <item x="1"/>
        <item x="11"/>
        <item x="4"/>
        <item x="14"/>
        <item x="6"/>
        <item x="5"/>
        <item x="0"/>
        <item x="2"/>
        <item x="8"/>
        <item t="default"/>
      </items>
    </pivotField>
    <pivotField axis="axisPage" dataField="1" numFmtId="3" showAll="0">
      <items count="21">
        <item x="12"/>
        <item x="13"/>
        <item m="1" x="17"/>
        <item m="1" x="18"/>
        <item m="1" x="16"/>
        <item x="9"/>
        <item x="10"/>
        <item m="1" x="19"/>
        <item x="7"/>
        <item x="3"/>
        <item x="1"/>
        <item x="11"/>
        <item x="14"/>
        <item x="6"/>
        <item x="4"/>
        <item x="5"/>
        <item x="0"/>
        <item x="2"/>
        <item x="8"/>
        <item x="15"/>
        <item t="default"/>
      </items>
    </pivotField>
    <pivotField numFmtId="44" showAll="0"/>
    <pivotField showAll="0"/>
    <pivotField showAll="0"/>
    <pivotField showAll="0"/>
    <pivotField showAll="0"/>
    <pivotField showAll="0"/>
  </pivotFields>
  <rowFields count="2">
    <field x="4"/>
    <field x="5"/>
  </rowFields>
  <rowItems count="17">
    <i>
      <x v="12"/>
    </i>
    <i>
      <x v="5"/>
    </i>
    <i>
      <x v="16"/>
    </i>
    <i>
      <x v="10"/>
    </i>
    <i>
      <x v="19"/>
    </i>
    <i>
      <x/>
    </i>
    <i>
      <x v="17"/>
    </i>
    <i>
      <x v="9"/>
    </i>
    <i>
      <x v="18"/>
    </i>
    <i>
      <x v="24"/>
    </i>
    <i>
      <x v="13"/>
    </i>
    <i>
      <x v="1"/>
    </i>
    <i>
      <x v="22"/>
    </i>
    <i>
      <x v="2"/>
    </i>
    <i>
      <x v="23"/>
    </i>
    <i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9" hier="-1"/>
    <pageField fld="10" hier="-1"/>
    <pageField fld="11" hier="-1"/>
  </pageFields>
  <dataFields count="3">
    <dataField name="Suma de $ MSRP MX Full" fld="9" baseField="0" baseItem="0"/>
    <dataField name="Suma de $ MSRP USA Full" fld="10" baseField="0" baseItem="0"/>
    <dataField name="Suma de $ MSRP CAD Lux Full" fld="11" baseField="0" baseItem="0"/>
  </dataFields>
  <formats count="1">
    <format dxfId="222">
      <pivotArea outline="0" collapsedLevelsAreSubtotals="1" fieldPosition="0"/>
    </format>
  </formats>
  <chartFormats count="4">
    <chartFormat chart="5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13">
      <pivotArea type="data" outline="0" fieldPosition="0">
        <references count="3">
          <reference field="4294967294" count="1" selected="0">
            <x v="2"/>
          </reference>
          <reference field="4" count="1" selected="0">
            <x v="9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F8564D-1979-4E1E-B99C-021EBEDF28A8}" name="TablaDinámica27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2">
  <location ref="A606:C609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 sortType="ascending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x="55"/>
        <item m="1" x="60"/>
        <item h="1" x="54"/>
        <item h="1" x="32"/>
        <item h="1" m="1" x="59"/>
        <item h="1" x="50"/>
        <item h="1" m="1" x="62"/>
        <item h="1" x="31"/>
        <item h="1" m="1" x="63"/>
        <item h="1" x="51"/>
        <item h="1" x="33"/>
        <item h="1" x="0"/>
        <item h="1" x="1"/>
        <item h="1" x="2"/>
        <item h="1" x="4"/>
        <item h="1" x="3"/>
        <item h="1" x="8"/>
        <item h="1" x="6"/>
        <item h="1" x="7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x="28"/>
        <item h="1" x="27"/>
        <item h="1" x="29"/>
        <item h="1" x="30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21"/>
    </i>
    <i>
      <x v="60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71">
      <pivotArea outline="0" collapsedLevelsAreSubtotals="1" fieldPosition="0"/>
    </format>
    <format dxfId="170">
      <pivotArea dataOnly="0" labelOnly="1" outline="0" axis="axisValues" fieldPosition="0"/>
    </format>
  </formats>
  <chartFormats count="6">
    <chartFormat chart="4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0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40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60"/>
          </reference>
        </references>
      </pivotArea>
    </chartFormat>
    <chartFormat chart="40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0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21"/>
          </reference>
        </references>
      </pivotArea>
    </chartFormat>
    <chartFormat chart="40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6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FC7C3D-D054-4E04-936D-73B55B997769}" name="TablaDinámica28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7">
  <location ref="A631:C634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22"/>
    </i>
    <i>
      <x v="52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73">
      <pivotArea outline="0" collapsedLevelsAreSubtotals="1" fieldPosition="0"/>
    </format>
    <format dxfId="172">
      <pivotArea dataOnly="0" labelOnly="1" outline="0" axis="axisValues" fieldPosition="0"/>
    </format>
  </formats>
  <chartFormats count="6">
    <chartFormat chart="41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1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41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52"/>
          </reference>
        </references>
      </pivotArea>
    </chartFormat>
    <chartFormat chart="4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1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22"/>
          </reference>
        </references>
      </pivotArea>
    </chartFormat>
    <chartFormat chart="41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5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613AA-FB8C-4408-8BCC-3AF29DEDFD91}" name="TablaDinámica29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5">
  <location ref="A656:C659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23"/>
    </i>
    <i>
      <x v="53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75">
      <pivotArea outline="0" collapsedLevelsAreSubtotals="1" fieldPosition="0"/>
    </format>
    <format dxfId="174">
      <pivotArea dataOnly="0" labelOnly="1" outline="0" axis="axisValues" fieldPosition="0"/>
    </format>
  </formats>
  <chartFormats count="6">
    <chartFormat chart="4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2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42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53"/>
          </reference>
        </references>
      </pivotArea>
    </chartFormat>
    <chartFormat chart="42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2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23"/>
          </reference>
        </references>
      </pivotArea>
    </chartFormat>
    <chartFormat chart="42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5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195122-6697-4B26-A7CF-8C8744121822}" name="TablaDinámica30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9">
  <location ref="A681:C684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3"/>
        <item h="1" x="54"/>
        <item h="1" x="32"/>
        <item m="1" x="62"/>
        <item h="1" x="0"/>
        <item h="1" x="1"/>
        <item h="1" x="2"/>
        <item h="1" x="4"/>
        <item h="1" x="3"/>
        <item h="1" x="8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x="30"/>
        <item h="1" x="6"/>
        <item h="1" x="31"/>
        <item h="1" x="51"/>
        <item h="1" x="50"/>
        <item h="1" x="7"/>
        <item h="1" x="55"/>
        <item x="33"/>
        <item h="1" x="59"/>
        <item h="1" x="60"/>
        <item h="1" x="61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53"/>
    </i>
    <i>
      <x v="60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77">
      <pivotArea outline="0" collapsedLevelsAreSubtotals="1" fieldPosition="0"/>
    </format>
    <format dxfId="176">
      <pivotArea dataOnly="0" labelOnly="1" outline="0" axis="axisValues" fieldPosition="0"/>
    </format>
  </formats>
  <chartFormats count="6">
    <chartFormat chart="44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4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53"/>
          </reference>
        </references>
      </pivotArea>
    </chartFormat>
    <chartFormat chart="44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60"/>
          </reference>
        </references>
      </pivotArea>
    </chartFormat>
    <chartFormat chart="44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4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53"/>
          </reference>
        </references>
      </pivotArea>
    </chartFormat>
    <chartFormat chart="44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6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F12A08-A82C-4130-B525-A8868931335F}" name="TablaDinámica25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0">
  <location ref="A556:C559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9"/>
    </i>
    <i>
      <x v="48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79">
      <pivotArea outline="0" collapsedLevelsAreSubtotals="1" fieldPosition="0"/>
    </format>
    <format dxfId="178">
      <pivotArea dataOnly="0" labelOnly="1" outline="0" axis="axisValues" fieldPosition="0"/>
    </format>
  </formats>
  <chartFormats count="6">
    <chartFormat chart="38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38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8"/>
          </reference>
        </references>
      </pivotArea>
    </chartFormat>
    <chartFormat chart="38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8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9"/>
          </reference>
        </references>
      </pivotArea>
    </chartFormat>
    <chartFormat chart="38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4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F306EA-06E7-4817-9444-282031796C76}" name="TablaDinámica20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4">
  <location ref="A430:C433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 sortType="ascending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x="55"/>
        <item h="1" m="1" x="60"/>
        <item h="1" x="54"/>
        <item h="1" x="32"/>
        <item h="1" m="1" x="59"/>
        <item h="1" x="50"/>
        <item h="1" m="1" x="62"/>
        <item x="31"/>
        <item h="1" m="1" x="63"/>
        <item h="1" x="51"/>
        <item h="1" x="33"/>
        <item h="1" x="0"/>
        <item h="1" x="1"/>
        <item h="1" x="2"/>
        <item h="1" x="4"/>
        <item h="1" x="3"/>
        <item h="1" x="8"/>
        <item h="1" x="6"/>
        <item h="1" x="7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28"/>
    </i>
    <i>
      <x v="52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81">
      <pivotArea outline="0" collapsedLevelsAreSubtotals="1" fieldPosition="0"/>
    </format>
    <format dxfId="180">
      <pivotArea dataOnly="0" labelOnly="1" outline="0" axis="axisValues" fieldPosition="0"/>
    </format>
  </formats>
  <chartFormats count="6">
    <chartFormat chart="36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28"/>
          </reference>
        </references>
      </pivotArea>
    </chartFormat>
    <chartFormat chart="36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52"/>
          </reference>
        </references>
      </pivotArea>
    </chartFormat>
    <chartFormat chart="36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28"/>
          </reference>
        </references>
      </pivotArea>
    </chartFormat>
    <chartFormat chart="36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5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09AA1B-6AD4-43EC-BA8F-F4EE71AACBAD}" name="TablaDinámica16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0">
  <location ref="A379:C382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5"/>
    </i>
    <i>
      <x v="41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83">
      <pivotArea outline="0" collapsedLevelsAreSubtotals="1" fieldPosition="0"/>
    </format>
    <format dxfId="182">
      <pivotArea dataOnly="0" labelOnly="1" outline="0" axis="axisValues" fieldPosition="0"/>
    </format>
  </formats>
  <chartFormats count="6">
    <chartFormat chart="31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1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1"/>
          </reference>
        </references>
      </pivotArea>
    </chartFormat>
    <chartFormat chart="3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1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5"/>
          </reference>
        </references>
      </pivotArea>
    </chartFormat>
    <chartFormat chart="31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4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9315B0-700E-43CE-B800-96E3E5A144C9}" name="TablaDinámica13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1">
  <location ref="A304:C307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2"/>
    </i>
    <i>
      <x v="38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85">
      <pivotArea outline="0" collapsedLevelsAreSubtotals="1" fieldPosition="0"/>
    </format>
    <format dxfId="184">
      <pivotArea dataOnly="0" labelOnly="1" outline="0" axis="axisValues" fieldPosition="0"/>
    </format>
  </formats>
  <chartFormats count="6">
    <chartFormat chart="28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28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38"/>
          </reference>
        </references>
      </pivotArea>
    </chartFormat>
    <chartFormat chart="28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8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2"/>
          </reference>
        </references>
      </pivotArea>
    </chartFormat>
    <chartFormat chart="28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3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425879-D333-4539-AA99-3DB9BE87C5C7}" name="TablaDinámica26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9">
  <location ref="A581:C584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20"/>
    </i>
    <i>
      <x v="49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87">
      <pivotArea outline="0" collapsedLevelsAreSubtotals="1" fieldPosition="0"/>
    </format>
    <format dxfId="186">
      <pivotArea dataOnly="0" labelOnly="1" outline="0" axis="axisValues" fieldPosition="0"/>
    </format>
  </formats>
  <chartFormats count="6">
    <chartFormat chart="39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9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39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9"/>
          </reference>
        </references>
      </pivotArea>
    </chartFormat>
    <chartFormat chart="39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9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20"/>
          </reference>
        </references>
      </pivotArea>
    </chartFormat>
    <chartFormat chart="39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4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7A3360-60E5-4EA6-B63E-322BD9B30097}" name="TablaDinámica6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0">
  <location ref="A129:C132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5"/>
    </i>
    <i>
      <x v="55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89">
      <pivotArea outline="0" collapsedLevelsAreSubtotals="1" fieldPosition="0"/>
    </format>
    <format dxfId="188">
      <pivotArea dataOnly="0" labelOnly="1" outline="0" axis="axisValues" fieldPosition="0"/>
    </format>
  </formats>
  <chartFormats count="6">
    <chartFormat chart="28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8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55"/>
          </reference>
        </references>
      </pivotArea>
    </chartFormat>
    <chartFormat chart="28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8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28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5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E2F39-ADCA-4C6D-B16B-F6361FAB934E}" name="TablaDinámica3" cacheId="2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0">
  <location ref="Z8:AC41" firstHeaderRow="0" firstDataRow="1" firstDataCol="1" rowPageCount="3" colPageCount="1"/>
  <pivotFields count="18">
    <pivotField showAll="0"/>
    <pivotField showAll="0"/>
    <pivotField showAll="0"/>
    <pivotField showAll="0"/>
    <pivotField axis="axisRow" showAll="0" sortType="ascending">
      <items count="26">
        <item x="1"/>
        <item x="4"/>
        <item x="5"/>
        <item m="1" x="20"/>
        <item m="1" x="22"/>
        <item x="12"/>
        <item m="1" x="24"/>
        <item m="1" x="18"/>
        <item m="1" x="21"/>
        <item x="7"/>
        <item x="9"/>
        <item m="1" x="16"/>
        <item x="13"/>
        <item x="14"/>
        <item m="1" x="17"/>
        <item m="1" x="23"/>
        <item x="15"/>
        <item x="3"/>
        <item x="6"/>
        <item x="10"/>
        <item m="1" x="19"/>
        <item x="0"/>
        <item x="2"/>
        <item x="8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4">
        <item x="1"/>
        <item x="2"/>
        <item x="0"/>
        <item t="default"/>
      </items>
    </pivotField>
    <pivotField showAll="0"/>
    <pivotField numFmtId="44" showAll="0"/>
    <pivotField numFmtId="44" showAll="0"/>
    <pivotField numFmtId="3" showAll="0"/>
    <pivotField numFmtId="3" showAll="0"/>
    <pivotField numFmtId="3" showAll="0"/>
    <pivotField axis="axisPage" dataField="1" numFmtId="44" showAll="0">
      <items count="23">
        <item x="13"/>
        <item m="1" x="20"/>
        <item m="1" x="19"/>
        <item x="12"/>
        <item x="15"/>
        <item x="9"/>
        <item x="10"/>
        <item m="1" x="21"/>
        <item x="1"/>
        <item m="1" x="16"/>
        <item x="7"/>
        <item x="6"/>
        <item x="11"/>
        <item x="14"/>
        <item m="1" x="17"/>
        <item m="1" x="18"/>
        <item x="0"/>
        <item x="2"/>
        <item x="3"/>
        <item x="4"/>
        <item x="5"/>
        <item x="8"/>
        <item t="default"/>
      </items>
    </pivotField>
    <pivotField showAll="0"/>
    <pivotField axis="axisPage" dataField="1" showAll="0">
      <items count="19">
        <item x="12"/>
        <item x="13"/>
        <item m="1" x="17"/>
        <item m="1" x="16"/>
        <item x="9"/>
        <item x="10"/>
        <item x="3"/>
        <item x="7"/>
        <item x="1"/>
        <item x="11"/>
        <item x="4"/>
        <item x="14"/>
        <item x="6"/>
        <item x="5"/>
        <item x="0"/>
        <item x="2"/>
        <item x="8"/>
        <item x="15"/>
        <item t="default"/>
      </items>
    </pivotField>
    <pivotField axis="axisPage" dataField="1" showAll="0">
      <items count="19">
        <item x="12"/>
        <item x="13"/>
        <item m="1" x="16"/>
        <item m="1" x="17"/>
        <item x="9"/>
        <item x="10"/>
        <item x="7"/>
        <item x="3"/>
        <item x="1"/>
        <item x="11"/>
        <item x="14"/>
        <item x="6"/>
        <item x="4"/>
        <item x="5"/>
        <item x="0"/>
        <item x="2"/>
        <item x="8"/>
        <item x="15"/>
        <item t="default"/>
      </items>
    </pivotField>
    <pivotField showAll="0"/>
    <pivotField showAll="0"/>
  </pivotFields>
  <rowFields count="2">
    <field x="4"/>
    <field x="5"/>
  </rowFields>
  <rowItems count="33">
    <i>
      <x v="12"/>
    </i>
    <i r="1">
      <x v="1"/>
    </i>
    <i>
      <x v="5"/>
    </i>
    <i r="1">
      <x v="1"/>
    </i>
    <i>
      <x v="16"/>
    </i>
    <i r="1">
      <x v="2"/>
    </i>
    <i>
      <x v="10"/>
    </i>
    <i r="1">
      <x v="2"/>
    </i>
    <i>
      <x v="19"/>
    </i>
    <i r="1">
      <x v="2"/>
    </i>
    <i>
      <x/>
    </i>
    <i r="1">
      <x/>
    </i>
    <i>
      <x v="17"/>
    </i>
    <i r="1">
      <x/>
    </i>
    <i>
      <x v="9"/>
    </i>
    <i r="1">
      <x v="1"/>
    </i>
    <i>
      <x v="1"/>
    </i>
    <i r="1">
      <x/>
    </i>
    <i>
      <x v="22"/>
    </i>
    <i r="1">
      <x v="2"/>
    </i>
    <i>
      <x v="18"/>
    </i>
    <i r="1">
      <x/>
    </i>
    <i>
      <x v="24"/>
    </i>
    <i r="1">
      <x v="2"/>
    </i>
    <i>
      <x v="13"/>
    </i>
    <i r="1">
      <x/>
    </i>
    <i>
      <x v="2"/>
    </i>
    <i r="1">
      <x/>
    </i>
    <i>
      <x v="23"/>
    </i>
    <i r="1">
      <x v="2"/>
    </i>
    <i>
      <x v="2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12" hier="-1"/>
    <pageField fld="15" hier="-1"/>
    <pageField fld="14" hier="-1"/>
  </pageFields>
  <dataFields count="3">
    <dataField name="Suma de $ MSRP MX - IVA - Promotions" fld="12" baseField="0" baseItem="0"/>
    <dataField name="Suma de $ MSRP USA - Destination Fee + Acquisition Fees" fld="14" baseField="0" baseItem="0"/>
    <dataField name="Suma de $ MSRP CAD - HST - Destination Fee - Luxury tax" fld="15" baseField="0" baseItem="0"/>
  </dataFields>
  <formats count="1">
    <format dxfId="223">
      <pivotArea outline="0" collapsedLevelsAreSubtotals="1" fieldPosition="0"/>
    </format>
  </formats>
  <chartFormats count="3">
    <chartFormat chart="55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5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5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AA9550-5343-4C0F-AA5D-F8DDEC8B87FD}" name="TablaDinámica10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0">
  <location ref="A229:C232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9"/>
    </i>
    <i>
      <x v="35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91">
      <pivotArea outline="0" collapsedLevelsAreSubtotals="1" fieldPosition="0"/>
    </format>
    <format dxfId="190">
      <pivotArea dataOnly="0" labelOnly="1" outline="0" axis="axisValues" fieldPosition="0"/>
    </format>
  </formats>
  <chartFormats count="6">
    <chartFormat chart="25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5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5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35"/>
          </reference>
        </references>
      </pivotArea>
    </chartFormat>
    <chartFormat chart="25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5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9"/>
          </reference>
        </references>
      </pivotArea>
    </chartFormat>
    <chartFormat chart="25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3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2EF9C7-0E2B-495E-9021-C07E10F76558}" name="TablaDinámica17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1">
  <location ref="A404:C407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 sortType="ascending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x="55"/>
        <item h="1" m="1" x="60"/>
        <item h="1" x="54"/>
        <item h="1" x="32"/>
        <item h="1" m="1" x="59"/>
        <item x="50"/>
        <item m="1" x="62"/>
        <item h="1" x="31"/>
        <item h="1" m="1" x="63"/>
        <item h="1" x="51"/>
        <item h="1" x="33"/>
        <item h="1" x="0"/>
        <item h="1" x="1"/>
        <item h="1" x="2"/>
        <item h="1" x="4"/>
        <item h="1" x="3"/>
        <item h="1" x="8"/>
        <item h="1" x="6"/>
        <item h="1" x="7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26"/>
    </i>
    <i>
      <x v="51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4" baseField="0" baseItem="0"/>
    <dataField name="Price in USA" fld="3" baseField="0" baseItem="0"/>
  </dataFields>
  <formats count="2">
    <format dxfId="193">
      <pivotArea outline="0" collapsedLevelsAreSubtotals="1" fieldPosition="0"/>
    </format>
    <format dxfId="192">
      <pivotArea dataOnly="0" labelOnly="1" outline="0" axis="axisValues" fieldPosition="0"/>
    </format>
  </formats>
  <chartFormats count="6">
    <chartFormat chart="3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2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32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51"/>
          </reference>
        </references>
      </pivotArea>
    </chartFormat>
    <chartFormat chart="32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2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26"/>
          </reference>
        </references>
      </pivotArea>
    </chartFormat>
    <chartFormat chart="32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5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E236B2-7157-4FA9-BCCD-30DA7E2ABAA7}" name="TablaDinámica12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9">
  <location ref="A279:C282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1"/>
    </i>
    <i>
      <x v="37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4" baseField="0" baseItem="0"/>
    <dataField name="Price in USA" fld="3" baseField="0" baseItem="0"/>
  </dataFields>
  <formats count="2">
    <format dxfId="195">
      <pivotArea outline="0" collapsedLevelsAreSubtotals="1" fieldPosition="0"/>
    </format>
    <format dxfId="194">
      <pivotArea dataOnly="0" labelOnly="1" outline="0" axis="axisValues" fieldPosition="0"/>
    </format>
  </formats>
  <chartFormats count="6">
    <chartFormat chart="27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7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37"/>
          </reference>
        </references>
      </pivotArea>
    </chartFormat>
    <chartFormat chart="27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7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1"/>
          </reference>
        </references>
      </pivotArea>
    </chartFormat>
    <chartFormat chart="27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3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808E36-FA16-46F2-A7E5-2DACE7FF9F02}" name="TablaDinámica15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2">
  <location ref="A354:C357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4"/>
    </i>
    <i>
      <x v="40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97">
      <pivotArea outline="0" collapsedLevelsAreSubtotals="1" fieldPosition="0"/>
    </format>
    <format dxfId="196">
      <pivotArea dataOnly="0" labelOnly="1" outline="0" axis="axisValues" fieldPosition="0"/>
    </format>
  </formats>
  <chartFormats count="6">
    <chartFormat chart="3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0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0"/>
          </reference>
        </references>
      </pivotArea>
    </chartFormat>
    <chartFormat chart="30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4"/>
          </reference>
        </references>
      </pivotArea>
    </chartFormat>
    <chartFormat chart="30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4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515ED3-1C1B-4DF0-80ED-C407AA28C502}" name="TablaDinámica3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4">
  <location ref="A78:C81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3"/>
    </i>
    <i>
      <x v="28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99">
      <pivotArea outline="0" collapsedLevelsAreSubtotals="1" fieldPosition="0"/>
    </format>
    <format dxfId="198">
      <pivotArea dataOnly="0" labelOnly="1" outline="0" axis="axisValues" fieldPosition="0"/>
    </format>
  </formats>
  <chartFormats count="6">
    <chartFormat chart="19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9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28"/>
          </reference>
        </references>
      </pivotArea>
    </chartFormat>
    <chartFormat chart="19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9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19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2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DCC5BC-B375-48EF-9942-EAEB4AF51E4A}" name="TablaDinámica21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0">
  <location ref="A456:C459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 sortType="ascending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x="55"/>
        <item h="1" m="1" x="60"/>
        <item h="1" x="54"/>
        <item h="1" x="32"/>
        <item h="1" m="1" x="59"/>
        <item h="1" x="50"/>
        <item h="1" m="1" x="62"/>
        <item h="1" x="31"/>
        <item h="1" m="1" x="63"/>
        <item x="51"/>
        <item h="1" x="33"/>
        <item h="1" x="0"/>
        <item h="1" x="1"/>
        <item h="1" x="2"/>
        <item h="1" x="4"/>
        <item h="1" x="3"/>
        <item h="1" x="8"/>
        <item h="1" x="6"/>
        <item h="1" x="7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30"/>
    </i>
    <i>
      <x v="53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201">
      <pivotArea outline="0" collapsedLevelsAreSubtotals="1" fieldPosition="0"/>
    </format>
    <format dxfId="200">
      <pivotArea dataOnly="0" labelOnly="1" outline="0" axis="axisValues" fieldPosition="0"/>
    </format>
  </formats>
  <chartFormats count="6">
    <chartFormat chart="34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4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30"/>
          </reference>
        </references>
      </pivotArea>
    </chartFormat>
    <chartFormat chart="34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53"/>
          </reference>
        </references>
      </pivotArea>
    </chartFormat>
    <chartFormat chart="34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4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30"/>
          </reference>
        </references>
      </pivotArea>
    </chartFormat>
    <chartFormat chart="34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5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D01A86-F0DC-4553-ACC9-0D4962FBDAA2}" name="TablaDinámica14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1">
  <location ref="A329:C332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3"/>
    </i>
    <i>
      <x v="39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203">
      <pivotArea outline="0" collapsedLevelsAreSubtotals="1" fieldPosition="0"/>
    </format>
    <format dxfId="202">
      <pivotArea dataOnly="0" labelOnly="1" outline="0" axis="axisValues" fieldPosition="0"/>
    </format>
  </formats>
  <chartFormats count="6">
    <chartFormat chart="29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9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39"/>
          </reference>
        </references>
      </pivotArea>
    </chartFormat>
    <chartFormat chart="29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3"/>
          </reference>
        </references>
      </pivotArea>
    </chartFormat>
    <chartFormat chart="29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3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279E9E-2328-4BE4-BA88-AE675FC65D8B}" name="TablaDinámica4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4">
  <location ref="A104:C107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4"/>
    </i>
    <i>
      <x v="29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205">
      <pivotArea outline="0" collapsedLevelsAreSubtotals="1" fieldPosition="0"/>
    </format>
    <format dxfId="204">
      <pivotArea dataOnly="0" labelOnly="1" outline="0" axis="axisValues" fieldPosition="0"/>
    </format>
  </formats>
  <chartFormats count="6"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29"/>
          </reference>
        </references>
      </pivotArea>
    </chartFormat>
    <chartFormat chart="22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2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22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2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C81920-4A9D-46E9-9AD2-1DFA89727CC9}" name="TablaDinámica9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6">
  <location ref="A204:C207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8"/>
    </i>
    <i>
      <x v="34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207">
      <pivotArea outline="0" collapsedLevelsAreSubtotals="1" fieldPosition="0"/>
    </format>
    <format dxfId="206">
      <pivotArea dataOnly="0" labelOnly="1" outline="0" axis="axisValues" fieldPosition="0"/>
    </format>
  </formats>
  <chartFormats count="6">
    <chartFormat chart="24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4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4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34"/>
          </reference>
        </references>
      </pivotArea>
    </chartFormat>
    <chartFormat chart="24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4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8"/>
          </reference>
        </references>
      </pivotArea>
    </chartFormat>
    <chartFormat chart="24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3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7BBE3E-B3BA-4996-85CC-A3D90C7CAB3F}" name="TablaDinámica2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3">
  <location ref="A4:C7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n="                                 2019 AUDI A3 sedán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n="2024 AUDI A3 sedán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/>
    </i>
    <i>
      <x v="25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3">
    <format dxfId="210">
      <pivotArea collapsedLevelsAreSubtotals="1" fieldPosition="0">
        <references count="1">
          <reference field="1" count="1">
            <x v="0"/>
          </reference>
        </references>
      </pivotArea>
    </format>
    <format dxfId="209">
      <pivotArea outline="0" collapsedLevelsAreSubtotals="1" fieldPosition="0"/>
    </format>
    <format dxfId="208">
      <pivotArea dataOnly="0" labelOnly="1" outline="0" axis="axisValues" fieldPosition="0"/>
    </format>
  </formats>
  <chartFormats count="6">
    <chartFormat chart="17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7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17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17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2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0828E8-157E-4740-893C-45A503B8FDC3}" name="TablaDinámica5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81" rowHeaderCaption="Vehicle">
  <location ref="B71:E103" firstHeaderRow="0" firstDataRow="1" firstDataCol="1" rowPageCount="2" colPageCount="1"/>
  <pivotFields count="12">
    <pivotField axis="axisPage" showAll="0">
      <items count="3">
        <item x="1"/>
        <item x="0"/>
        <item t="default"/>
      </items>
    </pivotField>
    <pivotField axis="axisRow" showAll="0" sortType="ascending">
      <items count="36">
        <item m="1" x="32"/>
        <item m="1" x="33"/>
        <item x="0"/>
        <item x="1"/>
        <item x="2"/>
        <item x="4"/>
        <item x="3"/>
        <item x="8"/>
        <item m="1" x="31"/>
        <item x="5"/>
        <item x="9"/>
        <item x="10"/>
        <item x="12"/>
        <item x="11"/>
        <item x="13"/>
        <item x="14"/>
        <item x="15"/>
        <item x="16"/>
        <item x="19"/>
        <item x="18"/>
        <item x="20"/>
        <item x="22"/>
        <item x="21"/>
        <item x="24"/>
        <item x="26"/>
        <item x="25"/>
        <item x="28"/>
        <item x="27"/>
        <item x="29"/>
        <item x="30"/>
        <item m="1" x="34"/>
        <item x="17"/>
        <item x="23"/>
        <item x="6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4">
        <item x="0"/>
        <item x="1"/>
        <item x="2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dataField="1" numFmtId="4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1"/>
  </rowFields>
  <rowItems count="32">
    <i>
      <x v="22"/>
    </i>
    <i>
      <x v="19"/>
    </i>
    <i>
      <x v="31"/>
    </i>
    <i>
      <x v="21"/>
    </i>
    <i>
      <x v="28"/>
    </i>
    <i>
      <x v="16"/>
    </i>
    <i>
      <x v="24"/>
    </i>
    <i>
      <x v="18"/>
    </i>
    <i>
      <x v="14"/>
    </i>
    <i>
      <x v="6"/>
    </i>
    <i>
      <x v="12"/>
    </i>
    <i>
      <x v="15"/>
    </i>
    <i>
      <x v="25"/>
    </i>
    <i>
      <x v="17"/>
    </i>
    <i>
      <x v="2"/>
    </i>
    <i>
      <x v="13"/>
    </i>
    <i>
      <x v="7"/>
    </i>
    <i>
      <x v="34"/>
    </i>
    <i>
      <x v="29"/>
    </i>
    <i>
      <x v="27"/>
    </i>
    <i>
      <x v="26"/>
    </i>
    <i>
      <x v="9"/>
    </i>
    <i>
      <x v="32"/>
    </i>
    <i>
      <x v="4"/>
    </i>
    <i>
      <x v="20"/>
    </i>
    <i>
      <x v="3"/>
    </i>
    <i>
      <x v="23"/>
    </i>
    <i>
      <x v="33"/>
    </i>
    <i>
      <x v="5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hier="-1"/>
    <pageField fld="2" hier="-1"/>
  </pageFields>
  <dataFields count="3">
    <dataField name="Price in Mexico" fld="3" baseField="0" baseItem="0"/>
    <dataField name="Price in USA" fld="4" baseField="0" baseItem="0"/>
    <dataField name="Price in Canada" fld="7" baseField="0" baseItem="0"/>
  </dataFields>
  <formats count="14">
    <format dxfId="221">
      <pivotArea outline="0" collapsedLevelsAreSubtotals="1" fieldPosition="0"/>
    </format>
    <format dxfId="144">
      <pivotArea type="all" dataOnly="0" outline="0" fieldPosition="0"/>
    </format>
    <format dxfId="137">
      <pivotArea outline="0" collapsedLevelsAreSubtotals="1" fieldPosition="0"/>
    </format>
    <format dxfId="136">
      <pivotArea field="1" type="button" dataOnly="0" labelOnly="1" outline="0" axis="axisRow" fieldPosition="0"/>
    </format>
    <format dxfId="135">
      <pivotArea dataOnly="0" labelOnly="1" fieldPosition="0">
        <references count="1">
          <reference field="1" count="0"/>
        </references>
      </pivotArea>
    </format>
    <format dxfId="134">
      <pivotArea dataOnly="0" labelOnly="1" grandRow="1" outline="0" fieldPosition="0"/>
    </format>
    <format dxfId="13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6">
      <pivotArea type="all" dataOnly="0" outline="0" fieldPosition="0"/>
    </format>
    <format dxfId="119">
      <pivotArea field="1" type="button" dataOnly="0" labelOnly="1" outline="0" axis="axisRow" fieldPosition="0"/>
    </format>
    <format dxfId="1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4">
      <pivotArea outline="0" collapsedLevelsAreSubtotals="1" fieldPosition="0"/>
    </format>
    <format dxfId="112">
      <pivotArea dataOnly="0" labelOnly="1" fieldPosition="0">
        <references count="1">
          <reference field="1" count="0"/>
        </references>
      </pivotArea>
    </format>
    <format dxfId="110">
      <pivotArea dataOnly="0" labelOnly="1" grandRow="1" outline="0" fieldPosition="0"/>
    </format>
    <format dxfId="108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</formats>
  <chartFormats count="4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2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D33BF0-A1D1-48B2-AAFE-C08E5F1A03F8}" name="TablaDinámica8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0">
  <location ref="A179:C182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7"/>
    </i>
    <i>
      <x v="33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212">
      <pivotArea outline="0" collapsedLevelsAreSubtotals="1" fieldPosition="0"/>
    </format>
    <format dxfId="211">
      <pivotArea dataOnly="0" labelOnly="1" outline="0" axis="axisValues" fieldPosition="0"/>
    </format>
  </formats>
  <chartFormats count="6">
    <chartFormat chart="23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3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33"/>
          </reference>
        </references>
      </pivotArea>
    </chartFormat>
    <chartFormat chart="23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3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7"/>
          </reference>
        </references>
      </pivotArea>
    </chartFormat>
    <chartFormat chart="23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3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5301FE-55DC-421A-90B9-D49D587C263C}" name="TablaDinámica19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5">
  <location ref="A733:C736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 sortType="ascending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x="59"/>
        <item h="1" x="55"/>
        <item h="1" m="1" x="63"/>
        <item h="1" x="54"/>
        <item h="1" x="32"/>
        <item h="1" m="1" x="62"/>
        <item h="1" x="50"/>
        <item h="1" x="31"/>
        <item h="1" x="51"/>
        <item h="1" x="33"/>
        <item x="60"/>
        <item h="1" x="61"/>
        <item h="1" x="0"/>
        <item h="1" x="1"/>
        <item h="1" x="2"/>
        <item h="1" x="4"/>
        <item h="1" x="3"/>
        <item x="8"/>
        <item h="1" x="6"/>
        <item h="1" x="7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31"/>
    </i>
    <i>
      <x v="38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214">
      <pivotArea outline="0" collapsedLevelsAreSubtotals="1" fieldPosition="0"/>
    </format>
    <format dxfId="213">
      <pivotArea dataOnly="0" labelOnly="1" outline="0" axis="axisValues" fieldPosition="0"/>
    </format>
  </formats>
  <chartFormats count="6">
    <chartFormat chart="5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2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31"/>
          </reference>
        </references>
      </pivotArea>
    </chartFormat>
    <chartFormat chart="52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38"/>
          </reference>
        </references>
      </pivotArea>
    </chartFormat>
    <chartFormat chart="52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2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31"/>
          </reference>
        </references>
      </pivotArea>
    </chartFormat>
    <chartFormat chart="52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3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24D6F5-914C-4CDD-83B9-AD53F7F3BF1C}" name="TablaDinámica5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9">
  <location ref="A29:C32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n="                                 2019 BMW X1 Xdrive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"/>
    </i>
    <i>
      <x v="26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216">
      <pivotArea outline="0" collapsedLevelsAreSubtotals="1" fieldPosition="0"/>
    </format>
    <format dxfId="215">
      <pivotArea dataOnly="0" labelOnly="1" outline="0" axis="axisValues" fieldPosition="0"/>
    </format>
  </formats>
  <chartFormats count="6">
    <chartFormat chart="17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7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17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17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2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8A82D7-0AC7-4ADF-89EF-B8C68214BE99}" name="TablaDinámica7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4">
  <location ref="A154:C157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6"/>
    </i>
    <i>
      <x v="32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218">
      <pivotArea outline="0" collapsedLevelsAreSubtotals="1" fieldPosition="0"/>
    </format>
    <format dxfId="217">
      <pivotArea dataOnly="0" labelOnly="1" outline="0" axis="axisValues" fieldPosition="0"/>
    </format>
  </formats>
  <chartFormats count="6"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22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2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chartFormat>
    <chartFormat chart="22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3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9B2C31-D4AF-4B69-8C1E-FF5BC5B013D1}" name="TablaDinámica22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1">
  <location ref="A481:C484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6"/>
    </i>
    <i>
      <x v="45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220">
      <pivotArea outline="0" collapsedLevelsAreSubtotals="1" fieldPosition="0"/>
    </format>
    <format dxfId="219">
      <pivotArea dataOnly="0" labelOnly="1" outline="0" axis="axisValues" fieldPosition="0"/>
    </format>
  </formats>
  <chartFormats count="6">
    <chartFormat chart="35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5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5"/>
          </reference>
        </references>
      </pivotArea>
    </chartFormat>
    <chartFormat chart="35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6"/>
          </reference>
        </references>
      </pivotArea>
    </chartFormat>
    <chartFormat chart="35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4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983C4A-C8F7-4747-BF90-E172A44A0572}" name="TablaDinámica24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7">
  <location ref="A531:C534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8"/>
    </i>
    <i>
      <x v="47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59">
      <pivotArea outline="0" collapsedLevelsAreSubtotals="1" fieldPosition="0"/>
    </format>
    <format dxfId="158">
      <pivotArea dataOnly="0" labelOnly="1" outline="0" axis="axisValues" fieldPosition="0"/>
    </format>
  </formats>
  <chartFormats count="6">
    <chartFormat chart="4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0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40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7"/>
          </reference>
        </references>
      </pivotArea>
    </chartFormat>
    <chartFormat chart="40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0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8"/>
          </reference>
        </references>
      </pivotArea>
    </chartFormat>
    <chartFormat chart="40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4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B4C2B5-DA02-44DF-ACD0-737EEC49D0A4}" name="TablaDinámica31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1">
  <location ref="A763:C766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 sortType="ascending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x="59"/>
        <item h="1" x="55"/>
        <item h="1" m="1" x="63"/>
        <item h="1" x="54"/>
        <item h="1" x="32"/>
        <item h="1" m="1" x="62"/>
        <item h="1" x="50"/>
        <item h="1" x="31"/>
        <item h="1" x="51"/>
        <item h="1" x="33"/>
        <item h="1" x="60"/>
        <item x="61"/>
        <item h="1" x="0"/>
        <item h="1" x="1"/>
        <item h="1" x="2"/>
        <item h="1" x="4"/>
        <item h="1" x="3"/>
        <item h="1" x="8"/>
        <item h="1" x="6"/>
        <item x="7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32"/>
    </i>
    <i>
      <x v="40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4" baseField="0" baseItem="0"/>
    <dataField name="Price in USA" fld="3" baseField="0" baseItem="0"/>
  </dataFields>
  <formats count="2">
    <format dxfId="161">
      <pivotArea outline="0" collapsedLevelsAreSubtotals="1" fieldPosition="0"/>
    </format>
    <format dxfId="160">
      <pivotArea dataOnly="0" labelOnly="1" outline="0" axis="axisValues" fieldPosition="0"/>
    </format>
  </formats>
  <chartFormats count="6">
    <chartFormat chart="5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2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52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0"/>
          </reference>
        </references>
      </pivotArea>
    </chartFormat>
    <chartFormat chart="52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2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32"/>
          </reference>
        </references>
      </pivotArea>
    </chartFormat>
    <chartFormat chart="52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4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F2D1D0-6CB0-4F31-9AF8-A22AFB1B7916}" name="TablaDinámica11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1">
  <location ref="A254:C257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0"/>
    </i>
    <i>
      <x v="36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63">
      <pivotArea outline="0" collapsedLevelsAreSubtotals="1" fieldPosition="0"/>
    </format>
    <format dxfId="162">
      <pivotArea dataOnly="0" labelOnly="1" outline="0" axis="axisValues" fieldPosition="0"/>
    </format>
  </formats>
  <chartFormats count="6">
    <chartFormat chart="26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6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6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36"/>
          </reference>
        </references>
      </pivotArea>
    </chartFormat>
    <chartFormat chart="26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6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0"/>
          </reference>
        </references>
      </pivotArea>
    </chartFormat>
    <chartFormat chart="26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3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11954C-763D-4196-9643-A2DD7D9D1D1B}" name="TablaDinámica23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2">
  <location ref="A506:C509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h="1"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17"/>
    </i>
    <i>
      <x v="46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65">
      <pivotArea outline="0" collapsedLevelsAreSubtotals="1" fieldPosition="0"/>
    </format>
    <format dxfId="164">
      <pivotArea dataOnly="0" labelOnly="1" outline="0" axis="axisValues" fieldPosition="0"/>
    </format>
  </formats>
  <chartFormats count="6">
    <chartFormat chart="36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36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6"/>
          </reference>
        </references>
      </pivotArea>
    </chartFormat>
    <chartFormat chart="36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7"/>
          </reference>
        </references>
      </pivotArea>
    </chartFormat>
    <chartFormat chart="36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4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7C1294-0A2E-4328-B34C-9D01FCFBAA05}" name="TablaDinámica1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2">
  <location ref="A53:C56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65">
        <item h="1" x="37"/>
        <item h="1" x="38"/>
        <item n="       2019 CHEVROLET CHEYENNE RST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h="1" m="1" x="60"/>
        <item h="1" x="54"/>
        <item h="1" x="32"/>
        <item h="1" m="1" x="59"/>
        <item h="1" x="0"/>
        <item h="1" x="1"/>
        <item x="2"/>
        <item h="1" x="4"/>
        <item h="1" x="3"/>
        <item h="1" x="8"/>
        <item h="1" m="1" x="61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h="1" x="25"/>
        <item h="1" x="28"/>
        <item h="1" x="27"/>
        <item h="1" x="29"/>
        <item h="1" x="30"/>
        <item h="1" x="6"/>
        <item h="1" x="31"/>
        <item h="1" m="1" x="62"/>
        <item h="1" m="1" x="63"/>
        <item h="1" x="51"/>
        <item h="1" x="50"/>
        <item h="1" x="7"/>
        <item h="1" x="55"/>
        <item h="1" x="33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2"/>
    </i>
    <i>
      <x v="27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67">
      <pivotArea outline="0" collapsedLevelsAreSubtotals="1" fieldPosition="0"/>
    </format>
    <format dxfId="166">
      <pivotArea dataOnly="0" labelOnly="1" outline="0" axis="axisValues" fieldPosition="0"/>
    </format>
  </formats>
  <chartFormats count="6">
    <chartFormat chart="2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0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20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0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20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2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3B78CF-EFDF-4C84-8F66-8EB70B71F2C3}" name="TablaDinámica18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3">
  <location ref="A709:C712" firstHeaderRow="0" firstDataRow="1" firstDataCol="1" rowPageCount="2" colPageCount="1"/>
  <pivotFields count="8">
    <pivotField axis="axisPage" showAll="0">
      <items count="3">
        <item x="1"/>
        <item x="0"/>
        <item t="default"/>
      </items>
    </pivotField>
    <pivotField axis="axisRow" showAll="0" sortType="ascending">
      <items count="65">
        <item h="1" x="37"/>
        <item h="1" x="38"/>
        <item h="1" x="39"/>
        <item h="1" x="41"/>
        <item h="1" x="40"/>
        <item h="1" x="43"/>
        <item h="1" x="42"/>
        <item h="1" x="45"/>
        <item h="1" x="44"/>
        <item h="1" x="47"/>
        <item h="1" x="46"/>
        <item h="1" x="34"/>
        <item h="1" x="35"/>
        <item h="1" x="36"/>
        <item h="1" x="49"/>
        <item h="1" x="48"/>
        <item h="1" x="58"/>
        <item h="1" x="57"/>
        <item h="1" x="56"/>
        <item h="1" x="52"/>
        <item h="1" x="53"/>
        <item x="59"/>
        <item h="1" x="55"/>
        <item h="1" m="1" x="63"/>
        <item h="1" x="54"/>
        <item h="1" x="32"/>
        <item h="1" m="1" x="62"/>
        <item h="1" x="50"/>
        <item h="1" x="31"/>
        <item h="1" x="51"/>
        <item h="1" x="33"/>
        <item h="1" x="60"/>
        <item h="1" x="61"/>
        <item h="1" x="0"/>
        <item h="1" x="1"/>
        <item h="1" x="2"/>
        <item h="1" x="4"/>
        <item h="1" x="3"/>
        <item h="1" x="8"/>
        <item h="1" x="6"/>
        <item h="1" x="7"/>
        <item h="1" x="5"/>
        <item h="1" x="9"/>
        <item h="1" x="10"/>
        <item h="1" x="12"/>
        <item h="1" x="11"/>
        <item h="1" x="13"/>
        <item h="1" x="14"/>
        <item h="1" x="15"/>
        <item h="1" x="17"/>
        <item h="1" x="16"/>
        <item h="1" x="19"/>
        <item h="1" x="18"/>
        <item h="1" x="20"/>
        <item h="1" x="23"/>
        <item h="1" x="22"/>
        <item h="1" x="21"/>
        <item h="1" x="24"/>
        <item h="1" x="26"/>
        <item x="25"/>
        <item h="1" x="28"/>
        <item h="1" x="27"/>
        <item h="1" x="29"/>
        <item h="1" x="30"/>
        <item t="default"/>
      </items>
    </pivotField>
    <pivotField axis="axisPage" showAll="0">
      <items count="5">
        <item x="0"/>
        <item x="1"/>
        <item x="2"/>
        <item m="1" x="3"/>
        <item t="default"/>
      </items>
    </pivotField>
    <pivotField dataField="1" numFmtId="44" showAll="0"/>
    <pivotField dataField="1" numFmtId="44" showAll="0"/>
    <pivotField numFmtId="44" showAll="0"/>
    <pivotField numFmtId="44" showAll="0"/>
    <pivotField showAll="0"/>
  </pivotFields>
  <rowFields count="1">
    <field x="1"/>
  </rowFields>
  <rowItems count="3">
    <i>
      <x v="21"/>
    </i>
    <i>
      <x v="59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2" hier="-1"/>
  </pageFields>
  <dataFields count="2">
    <dataField name="Price in Mexico" fld="3" baseField="0" baseItem="0"/>
    <dataField name="Price in USA" fld="4" baseField="0" baseItem="0"/>
  </dataFields>
  <formats count="2">
    <format dxfId="169">
      <pivotArea outline="0" collapsedLevelsAreSubtotals="1" fieldPosition="0"/>
    </format>
    <format dxfId="168">
      <pivotArea dataOnly="0" labelOnly="1" outline="0" axis="axisValues" fieldPosition="0"/>
    </format>
  </formats>
  <chartFormats count="6">
    <chartFormat chart="5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2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52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59"/>
          </reference>
        </references>
      </pivotArea>
    </chartFormat>
    <chartFormat chart="52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2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21"/>
          </reference>
        </references>
      </pivotArea>
    </chartFormat>
    <chartFormat chart="52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5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3" dT="2024-05-14T15:50:29.65" personId="{AE54D739-0FA3-4012-9BB3-A42D34FB33AA}" id="{6EF2CB3C-D016-42A1-83E0-5526625AB503}">
    <text>This is a 2020 Mazda3</text>
  </threadedComment>
  <threadedComment ref="G35" dT="2024-05-14T15:55:40.74" personId="{AE54D739-0FA3-4012-9BB3-A42D34FB33AA}" id="{8225E800-B498-472F-977D-A744575693CC}">
    <text xml:space="preserve">2.0T SEL Premium R-Line </text>
  </threadedComment>
  <threadedComment ref="G36" dT="2024-05-14T15:56:50.49" personId="{AE54D739-0FA3-4012-9BB3-A42D34FB33AA}" id="{CACDD4B6-53EF-4EC3-8ADC-DFBA80D9A4BB}">
    <text>SEL</text>
  </threadedComment>
  <threadedComment ref="G37" dT="2024-05-14T15:58:43.28" personId="{AE54D739-0FA3-4012-9BB3-A42D34FB33AA}" id="{E1D33FFC-3057-43CF-80C3-8A43EDBF0B5B}">
    <text>SEL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esmx.com/noticias/honda-cr-v-2019-ya-llego-a-mexico/" TargetMode="External"/><Relationship Id="rId13" Type="http://schemas.openxmlformats.org/officeDocument/2006/relationships/hyperlink" Target="https://cars.usnews.com/cars-trucks/volkswagen/tiguan/2019/specs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www.motorpasion.com.mx/industria/volkswagen-tiguan-r-line-se-estrena-en-mexico-con-cuerpo-mas-atletico" TargetMode="External"/><Relationship Id="rId7" Type="http://schemas.openxmlformats.org/officeDocument/2006/relationships/hyperlink" Target="https://www.motorpasion.com.mx/industria/mazda-3-2019-precios-versiones-equipamiento-mexico" TargetMode="External"/><Relationship Id="rId12" Type="http://schemas.openxmlformats.org/officeDocument/2006/relationships/hyperlink" Target="https://noticias.autocosmos.com.mx/2018/08/14/ram-1500-limited-2019-llega-a-mexico-desde-1099900-pesos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motorpasion.com.mx/pruebas-de-coches/volkswagen-jetta-2019-opiniones-prueba-mexico" TargetMode="External"/><Relationship Id="rId16" Type="http://schemas.openxmlformats.org/officeDocument/2006/relationships/drawing" Target="../drawings/drawing2.xml"/><Relationship Id="rId1" Type="http://schemas.openxmlformats.org/officeDocument/2006/relationships/pivotTable" Target="../pivotTables/pivotTable3.xml"/><Relationship Id="rId6" Type="http://schemas.openxmlformats.org/officeDocument/2006/relationships/hyperlink" Target="https://www.motorpasion.com.mx/pruebas-de-coches/kia-forte-2019-opiniones-lanzamiento-precio-mexico" TargetMode="External"/><Relationship Id="rId11" Type="http://schemas.openxmlformats.org/officeDocument/2006/relationships/hyperlink" Target="https://www.motorpasion.com.mx/industria/toyota-rav4-2019-precios-versiones-equipamiento-mexico" TargetMode="External"/><Relationship Id="rId5" Type="http://schemas.openxmlformats.org/officeDocument/2006/relationships/hyperlink" Target="https://www.motorpasion.com.mx/industria/hyundai-elantra-2019-precios-versiones-equipamiento-mexic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motorpasion.com.mx/pruebas-de-coches/kia-soul-2-0-ex-pack-prueba-opiniones-mexico" TargetMode="External"/><Relationship Id="rId19" Type="http://schemas.microsoft.com/office/2017/10/relationships/threadedComment" Target="../threadedComments/threadedComment1.xml"/><Relationship Id="rId4" Type="http://schemas.openxmlformats.org/officeDocument/2006/relationships/hyperlink" Target="https://www.motorpasion.com.mx/industria/hyundai-tucson-2019-precios-versiones-equipamiento-mexico" TargetMode="External"/><Relationship Id="rId9" Type="http://schemas.openxmlformats.org/officeDocument/2006/relationships/hyperlink" Target="https://www.motorpasion.com.mx/industria/honda-civic-2019-precios-versiones-equipamiento-mexico" TargetMode="External"/><Relationship Id="rId14" Type="http://schemas.openxmlformats.org/officeDocument/2006/relationships/hyperlink" Target="https://www.motorpasion.com.mx/industria/bmw-x1-2019-precios-versiones-equipamiento-mexico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1.xml"/><Relationship Id="rId13" Type="http://schemas.openxmlformats.org/officeDocument/2006/relationships/pivotTable" Target="../pivotTables/pivotTable16.xml"/><Relationship Id="rId18" Type="http://schemas.openxmlformats.org/officeDocument/2006/relationships/pivotTable" Target="../pivotTables/pivotTable21.xml"/><Relationship Id="rId26" Type="http://schemas.openxmlformats.org/officeDocument/2006/relationships/pivotTable" Target="../pivotTables/pivotTable29.xml"/><Relationship Id="rId3" Type="http://schemas.openxmlformats.org/officeDocument/2006/relationships/pivotTable" Target="../pivotTables/pivotTable6.xml"/><Relationship Id="rId21" Type="http://schemas.openxmlformats.org/officeDocument/2006/relationships/pivotTable" Target="../pivotTables/pivotTable24.xml"/><Relationship Id="rId7" Type="http://schemas.openxmlformats.org/officeDocument/2006/relationships/pivotTable" Target="../pivotTables/pivotTable10.xml"/><Relationship Id="rId12" Type="http://schemas.openxmlformats.org/officeDocument/2006/relationships/pivotTable" Target="../pivotTables/pivotTable15.xml"/><Relationship Id="rId17" Type="http://schemas.openxmlformats.org/officeDocument/2006/relationships/pivotTable" Target="../pivotTables/pivotTable20.xml"/><Relationship Id="rId25" Type="http://schemas.openxmlformats.org/officeDocument/2006/relationships/pivotTable" Target="../pivotTables/pivotTable28.xml"/><Relationship Id="rId2" Type="http://schemas.openxmlformats.org/officeDocument/2006/relationships/pivotTable" Target="../pivotTables/pivotTable5.xml"/><Relationship Id="rId16" Type="http://schemas.openxmlformats.org/officeDocument/2006/relationships/pivotTable" Target="../pivotTables/pivotTable19.xml"/><Relationship Id="rId20" Type="http://schemas.openxmlformats.org/officeDocument/2006/relationships/pivotTable" Target="../pivotTables/pivotTable23.xml"/><Relationship Id="rId29" Type="http://schemas.openxmlformats.org/officeDocument/2006/relationships/pivotTable" Target="../pivotTables/pivotTable32.xml"/><Relationship Id="rId1" Type="http://schemas.openxmlformats.org/officeDocument/2006/relationships/pivotTable" Target="../pivotTables/pivotTable4.xml"/><Relationship Id="rId6" Type="http://schemas.openxmlformats.org/officeDocument/2006/relationships/pivotTable" Target="../pivotTables/pivotTable9.xml"/><Relationship Id="rId11" Type="http://schemas.openxmlformats.org/officeDocument/2006/relationships/pivotTable" Target="../pivotTables/pivotTable14.xml"/><Relationship Id="rId24" Type="http://schemas.openxmlformats.org/officeDocument/2006/relationships/pivotTable" Target="../pivotTables/pivotTable27.xml"/><Relationship Id="rId32" Type="http://schemas.openxmlformats.org/officeDocument/2006/relationships/drawing" Target="../drawings/drawing3.xml"/><Relationship Id="rId5" Type="http://schemas.openxmlformats.org/officeDocument/2006/relationships/pivotTable" Target="../pivotTables/pivotTable8.xml"/><Relationship Id="rId15" Type="http://schemas.openxmlformats.org/officeDocument/2006/relationships/pivotTable" Target="../pivotTables/pivotTable18.xml"/><Relationship Id="rId23" Type="http://schemas.openxmlformats.org/officeDocument/2006/relationships/pivotTable" Target="../pivotTables/pivotTable26.xml"/><Relationship Id="rId28" Type="http://schemas.openxmlformats.org/officeDocument/2006/relationships/pivotTable" Target="../pivotTables/pivotTable31.xml"/><Relationship Id="rId10" Type="http://schemas.openxmlformats.org/officeDocument/2006/relationships/pivotTable" Target="../pivotTables/pivotTable13.xml"/><Relationship Id="rId19" Type="http://schemas.openxmlformats.org/officeDocument/2006/relationships/pivotTable" Target="../pivotTables/pivotTable22.xml"/><Relationship Id="rId31" Type="http://schemas.openxmlformats.org/officeDocument/2006/relationships/pivotTable" Target="../pivotTables/pivotTable34.xml"/><Relationship Id="rId4" Type="http://schemas.openxmlformats.org/officeDocument/2006/relationships/pivotTable" Target="../pivotTables/pivotTable7.xml"/><Relationship Id="rId9" Type="http://schemas.openxmlformats.org/officeDocument/2006/relationships/pivotTable" Target="../pivotTables/pivotTable12.xml"/><Relationship Id="rId14" Type="http://schemas.openxmlformats.org/officeDocument/2006/relationships/pivotTable" Target="../pivotTables/pivotTable17.xml"/><Relationship Id="rId22" Type="http://schemas.openxmlformats.org/officeDocument/2006/relationships/pivotTable" Target="../pivotTables/pivotTable25.xml"/><Relationship Id="rId27" Type="http://schemas.openxmlformats.org/officeDocument/2006/relationships/pivotTable" Target="../pivotTables/pivotTable30.xml"/><Relationship Id="rId30" Type="http://schemas.openxmlformats.org/officeDocument/2006/relationships/pivotTable" Target="../pivotTables/pivotTable3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4555-7CF2-4E1E-B199-141E98E035FB}">
  <dimension ref="A1:AC116"/>
  <sheetViews>
    <sheetView topLeftCell="P1" zoomScale="85" zoomScaleNormal="85" workbookViewId="0">
      <selection activeCell="R28" sqref="R28"/>
    </sheetView>
  </sheetViews>
  <sheetFormatPr baseColWidth="10" defaultColWidth="30.44140625" defaultRowHeight="14.4"/>
  <cols>
    <col min="1" max="1" width="4.88671875" style="2" customWidth="1"/>
    <col min="2" max="2" width="9.44140625" style="2" bestFit="1" customWidth="1"/>
    <col min="3" max="3" width="21.109375" style="2" bestFit="1" customWidth="1"/>
    <col min="4" max="5" width="14" style="4" bestFit="1" customWidth="1"/>
    <col min="6" max="6" width="40.33203125" style="4" bestFit="1" customWidth="1"/>
    <col min="7" max="7" width="11.5546875" style="2" bestFit="1" customWidth="1"/>
    <col min="8" max="8" width="14" style="3" customWidth="1"/>
    <col min="9" max="9" width="11.88671875" style="3" customWidth="1"/>
    <col min="10" max="10" width="11.21875" style="3" customWidth="1"/>
    <col min="11" max="11" width="17.77734375" style="3" bestFit="1" customWidth="1"/>
    <col min="12" max="12" width="17.88671875" style="3" bestFit="1" customWidth="1"/>
    <col min="13" max="13" width="18" style="3" bestFit="1" customWidth="1"/>
    <col min="14" max="14" width="22.44140625" style="3" customWidth="1"/>
    <col min="15" max="15" width="22.44140625" style="3" hidden="1" customWidth="1"/>
    <col min="16" max="17" width="22.44140625" style="3" customWidth="1"/>
    <col min="18" max="18" width="25.5546875" style="3" bestFit="1" customWidth="1"/>
    <col min="19" max="19" width="38.6640625" style="4" bestFit="1" customWidth="1"/>
    <col min="20" max="20" width="18.5546875" customWidth="1"/>
    <col min="21" max="21" width="47.21875" bestFit="1" customWidth="1"/>
    <col min="22" max="22" width="22.109375" bestFit="1" customWidth="1"/>
    <col min="23" max="23" width="22.77734375" bestFit="1" customWidth="1"/>
    <col min="24" max="24" width="26.109375" bestFit="1" customWidth="1"/>
    <col min="25" max="25" width="36.88671875" bestFit="1" customWidth="1"/>
    <col min="26" max="26" width="47.21875" bestFit="1" customWidth="1"/>
    <col min="27" max="27" width="34.88671875" bestFit="1" customWidth="1"/>
    <col min="28" max="28" width="49.77734375" bestFit="1" customWidth="1"/>
    <col min="29" max="29" width="49.44140625" bestFit="1" customWidth="1"/>
  </cols>
  <sheetData>
    <row r="1" spans="1:29" s="1" customFormat="1">
      <c r="B1" s="16" t="s">
        <v>3</v>
      </c>
      <c r="C1" s="16" t="s">
        <v>0</v>
      </c>
      <c r="D1" s="17" t="s">
        <v>1</v>
      </c>
      <c r="E1" s="17" t="s">
        <v>2</v>
      </c>
      <c r="F1" s="17" t="s">
        <v>52</v>
      </c>
      <c r="G1" s="16" t="s">
        <v>12</v>
      </c>
      <c r="H1" s="18" t="s">
        <v>19</v>
      </c>
      <c r="I1" s="18" t="s">
        <v>23</v>
      </c>
      <c r="J1" s="18" t="s">
        <v>24</v>
      </c>
      <c r="K1" s="19" t="s">
        <v>73</v>
      </c>
      <c r="L1" s="20" t="s">
        <v>74</v>
      </c>
      <c r="M1" s="21" t="s">
        <v>75</v>
      </c>
      <c r="N1" s="19" t="s">
        <v>83</v>
      </c>
      <c r="O1" s="19" t="s">
        <v>100</v>
      </c>
      <c r="P1" s="20" t="s">
        <v>82</v>
      </c>
      <c r="Q1" s="21" t="s">
        <v>78</v>
      </c>
      <c r="R1" s="18" t="s">
        <v>39</v>
      </c>
      <c r="S1" s="17" t="s">
        <v>59</v>
      </c>
      <c r="U1"/>
      <c r="V1"/>
    </row>
    <row r="2" spans="1:29">
      <c r="A2" s="7"/>
      <c r="B2" s="26">
        <v>2024</v>
      </c>
      <c r="C2" s="29" t="s">
        <v>66</v>
      </c>
      <c r="D2" s="29" t="s">
        <v>67</v>
      </c>
      <c r="E2" s="29" t="s">
        <v>68</v>
      </c>
      <c r="F2" s="29" t="str">
        <f t="shared" ref="F2:F21" si="0">B2&amp;" "&amp;C2&amp;" "&amp;D2&amp;" "&amp;E2</f>
        <v>2024 Cadillac Escalade SUV Premium Luxury</v>
      </c>
      <c r="G2" s="29" t="s">
        <v>13</v>
      </c>
      <c r="H2" s="29"/>
      <c r="I2" s="29">
        <v>16.87</v>
      </c>
      <c r="J2" s="29">
        <v>12.53</v>
      </c>
      <c r="K2" s="34">
        <v>2631400</v>
      </c>
      <c r="L2" s="34">
        <f>104065*I2</f>
        <v>1755576.55</v>
      </c>
      <c r="M2" s="34">
        <f>142078*J2</f>
        <v>1780237.3399999999</v>
      </c>
      <c r="N2" s="34">
        <f t="shared" ref="N2:N21" si="1">K2/1.16</f>
        <v>2268448.2758620693</v>
      </c>
      <c r="O2" s="34">
        <v>0</v>
      </c>
      <c r="P2" s="34">
        <f>L2-(1995*I2)</f>
        <v>1721920.9000000001</v>
      </c>
      <c r="Q2" s="34">
        <f>M2-(10144*J2)</f>
        <v>1653133.0199999998</v>
      </c>
      <c r="R2" s="29"/>
      <c r="S2" s="29"/>
    </row>
    <row r="3" spans="1:29" ht="57.6">
      <c r="A3" s="8"/>
      <c r="B3" s="22">
        <v>2023</v>
      </c>
      <c r="C3" s="22" t="s">
        <v>16</v>
      </c>
      <c r="D3" s="23" t="s">
        <v>37</v>
      </c>
      <c r="E3" s="23" t="s">
        <v>27</v>
      </c>
      <c r="F3" s="23" t="str">
        <f t="shared" si="0"/>
        <v>2023 Chevrolet Silverado / Cheyenne LT</v>
      </c>
      <c r="G3" s="22" t="s">
        <v>26</v>
      </c>
      <c r="H3" s="24">
        <v>6807</v>
      </c>
      <c r="I3" s="25">
        <v>16.87</v>
      </c>
      <c r="J3" s="25">
        <v>12.53</v>
      </c>
      <c r="K3" s="33">
        <v>1046400</v>
      </c>
      <c r="L3" s="33">
        <f>55240*I3</f>
        <v>931898.8</v>
      </c>
      <c r="M3" s="33">
        <f>66059*J3</f>
        <v>827719.2699999999</v>
      </c>
      <c r="N3" s="33">
        <f t="shared" si="1"/>
        <v>902068.96551724139</v>
      </c>
      <c r="O3" s="33" t="s">
        <v>96</v>
      </c>
      <c r="P3" s="33">
        <f>L3-(1895*I3)</f>
        <v>899930.15</v>
      </c>
      <c r="Q3" s="33">
        <f>M3-(2926*J3)</f>
        <v>791056.48999999987</v>
      </c>
      <c r="R3" s="24" t="s">
        <v>34</v>
      </c>
      <c r="S3" s="23" t="s">
        <v>36</v>
      </c>
    </row>
    <row r="4" spans="1:29">
      <c r="A4" s="6"/>
      <c r="B4" s="27">
        <v>2023</v>
      </c>
      <c r="C4" s="27" t="s">
        <v>16</v>
      </c>
      <c r="D4" s="27" t="s">
        <v>69</v>
      </c>
      <c r="E4" s="27" t="s">
        <v>27</v>
      </c>
      <c r="F4" s="29" t="str">
        <f t="shared" si="0"/>
        <v>2023 Chevrolet Suburban LT</v>
      </c>
      <c r="G4" s="27" t="s">
        <v>13</v>
      </c>
      <c r="H4" s="27"/>
      <c r="I4" s="29">
        <v>16.87</v>
      </c>
      <c r="J4" s="29">
        <v>12.53</v>
      </c>
      <c r="K4" s="34">
        <v>1656600</v>
      </c>
      <c r="L4" s="34">
        <f>70920*I4</f>
        <v>1196420.4000000001</v>
      </c>
      <c r="M4" s="34">
        <f>91069*J4</f>
        <v>1141094.5699999998</v>
      </c>
      <c r="N4" s="34">
        <f>(K4/1.16)-160000</f>
        <v>1268103.4482758623</v>
      </c>
      <c r="O4" s="34" t="s">
        <v>97</v>
      </c>
      <c r="P4" s="34">
        <f>L4-(1895*I4)</f>
        <v>1164451.7500000002</v>
      </c>
      <c r="Q4" s="34">
        <f>M4-(2926*J4)</f>
        <v>1104431.7899999998</v>
      </c>
      <c r="R4" s="31"/>
      <c r="S4" s="31"/>
      <c r="U4" s="10" t="s">
        <v>73</v>
      </c>
      <c r="V4" t="s">
        <v>60</v>
      </c>
      <c r="Z4" s="10" t="s">
        <v>83</v>
      </c>
      <c r="AA4" t="s">
        <v>60</v>
      </c>
    </row>
    <row r="5" spans="1:29">
      <c r="A5" s="8"/>
      <c r="B5" s="22">
        <v>2023</v>
      </c>
      <c r="C5" s="22" t="s">
        <v>18</v>
      </c>
      <c r="D5" s="23" t="s">
        <v>35</v>
      </c>
      <c r="E5" s="23" t="s">
        <v>76</v>
      </c>
      <c r="F5" s="23" t="str">
        <f t="shared" si="0"/>
        <v>2023 Ford F-150 XLT 4x2</v>
      </c>
      <c r="G5" s="22" t="s">
        <v>26</v>
      </c>
      <c r="H5" s="24">
        <v>4770</v>
      </c>
      <c r="I5" s="25">
        <v>16.87</v>
      </c>
      <c r="J5" s="25">
        <v>12.53</v>
      </c>
      <c r="K5" s="33">
        <v>1238000</v>
      </c>
      <c r="L5" s="33">
        <f>52735*I5</f>
        <v>889639.45000000007</v>
      </c>
      <c r="M5" s="33">
        <f>64725*J5</f>
        <v>811004.25</v>
      </c>
      <c r="N5" s="33">
        <f>(K5/1.16)-98000</f>
        <v>969241.37931034481</v>
      </c>
      <c r="O5" s="33" t="s">
        <v>98</v>
      </c>
      <c r="P5" s="33">
        <f>L5-(2640*I5)</f>
        <v>845102.65</v>
      </c>
      <c r="Q5" s="33">
        <f>M5-(2395*J5)</f>
        <v>780994.9</v>
      </c>
      <c r="R5" s="24"/>
      <c r="S5" s="23"/>
      <c r="U5" s="10" t="s">
        <v>74</v>
      </c>
      <c r="V5" t="s">
        <v>60</v>
      </c>
      <c r="Z5" s="10" t="s">
        <v>78</v>
      </c>
      <c r="AA5" t="s">
        <v>60</v>
      </c>
    </row>
    <row r="6" spans="1:29">
      <c r="A6" s="5"/>
      <c r="B6" s="26">
        <v>2023</v>
      </c>
      <c r="C6" s="26" t="s">
        <v>18</v>
      </c>
      <c r="D6" s="27" t="s">
        <v>35</v>
      </c>
      <c r="E6" s="27" t="s">
        <v>40</v>
      </c>
      <c r="F6" s="27" t="str">
        <f t="shared" si="0"/>
        <v>2023 Ford F-150 Platinum</v>
      </c>
      <c r="G6" s="26" t="s">
        <v>26</v>
      </c>
      <c r="H6" s="28"/>
      <c r="I6" s="29">
        <v>16.87</v>
      </c>
      <c r="J6" s="29">
        <v>12.53</v>
      </c>
      <c r="K6" s="34">
        <v>1632000</v>
      </c>
      <c r="L6" s="34">
        <f>69645*I6</f>
        <v>1174911.1500000001</v>
      </c>
      <c r="M6" s="34">
        <f>97160*J6</f>
        <v>1217414.8</v>
      </c>
      <c r="N6" s="34">
        <f>(K6/1.16)-290000</f>
        <v>1116896.551724138</v>
      </c>
      <c r="O6" s="34">
        <v>290000</v>
      </c>
      <c r="P6" s="34">
        <f>L6-(2460*I6)</f>
        <v>1133410.9500000002</v>
      </c>
      <c r="Q6" s="34">
        <f>M6-(2395*J6)</f>
        <v>1187405.45</v>
      </c>
      <c r="R6" s="28"/>
      <c r="S6" s="27"/>
      <c r="U6" s="10" t="s">
        <v>75</v>
      </c>
      <c r="V6" t="s">
        <v>60</v>
      </c>
      <c r="Z6" s="10" t="s">
        <v>82</v>
      </c>
      <c r="AA6" t="s">
        <v>60</v>
      </c>
    </row>
    <row r="7" spans="1:29" ht="28.8">
      <c r="A7" s="5"/>
      <c r="B7" s="26">
        <v>2023</v>
      </c>
      <c r="C7" s="26" t="s">
        <v>18</v>
      </c>
      <c r="D7" s="27" t="s">
        <v>35</v>
      </c>
      <c r="E7" s="27" t="s">
        <v>41</v>
      </c>
      <c r="F7" s="27" t="str">
        <f t="shared" si="0"/>
        <v>2023 Ford F-150 Raptor</v>
      </c>
      <c r="G7" s="26" t="s">
        <v>26</v>
      </c>
      <c r="H7" s="28"/>
      <c r="I7" s="29">
        <v>16.87</v>
      </c>
      <c r="J7" s="29">
        <v>12.53</v>
      </c>
      <c r="K7" s="34">
        <v>2130000</v>
      </c>
      <c r="L7" s="34">
        <f>82205*I7</f>
        <v>1386798.35</v>
      </c>
      <c r="M7" s="34">
        <f>112984*J7</f>
        <v>1415689.52</v>
      </c>
      <c r="N7" s="34">
        <f>(K7/1.16)-10000</f>
        <v>1826206.8965517243</v>
      </c>
      <c r="O7" s="34">
        <v>10000</v>
      </c>
      <c r="P7" s="34">
        <f>L7-(2640*I7)</f>
        <v>1342261.55</v>
      </c>
      <c r="Q7" s="34">
        <f>M7-(4559*J7)</f>
        <v>1358565.25</v>
      </c>
      <c r="R7" s="28"/>
      <c r="S7" s="27" t="s">
        <v>61</v>
      </c>
    </row>
    <row r="8" spans="1:29">
      <c r="A8" s="5"/>
      <c r="B8" s="26">
        <v>2024</v>
      </c>
      <c r="C8" s="26" t="s">
        <v>18</v>
      </c>
      <c r="D8" s="27" t="s">
        <v>42</v>
      </c>
      <c r="E8" s="27" t="s">
        <v>77</v>
      </c>
      <c r="F8" s="27" t="str">
        <f t="shared" si="0"/>
        <v>2024 Ford F-250 Super Duty XLT</v>
      </c>
      <c r="G8" s="26" t="s">
        <v>26</v>
      </c>
      <c r="H8" s="28"/>
      <c r="I8" s="29">
        <v>16.87</v>
      </c>
      <c r="J8" s="29">
        <v>12.53</v>
      </c>
      <c r="K8" s="34">
        <v>1475000</v>
      </c>
      <c r="L8" s="34">
        <f>78625*I8</f>
        <v>1326403.75</v>
      </c>
      <c r="M8" s="34">
        <f>89965*J8</f>
        <v>1127261.45</v>
      </c>
      <c r="N8" s="34">
        <f t="shared" si="1"/>
        <v>1271551.7241379311</v>
      </c>
      <c r="O8" s="34">
        <v>0</v>
      </c>
      <c r="P8" s="34">
        <f>L8-(1995*I8)</f>
        <v>1292748.1000000001</v>
      </c>
      <c r="Q8" s="34">
        <f>M8-(2395*J8)</f>
        <v>1097252.0999999999</v>
      </c>
      <c r="R8" s="28"/>
      <c r="S8" s="27"/>
      <c r="U8" s="10" t="s">
        <v>50</v>
      </c>
      <c r="V8" t="s">
        <v>87</v>
      </c>
      <c r="W8" t="s">
        <v>88</v>
      </c>
      <c r="X8" t="s">
        <v>89</v>
      </c>
      <c r="Z8" s="10" t="s">
        <v>50</v>
      </c>
      <c r="AA8" t="s">
        <v>84</v>
      </c>
      <c r="AB8" t="s">
        <v>85</v>
      </c>
      <c r="AC8" t="s">
        <v>86</v>
      </c>
    </row>
    <row r="9" spans="1:29" ht="43.2">
      <c r="A9" s="5"/>
      <c r="B9" s="26">
        <v>2024</v>
      </c>
      <c r="C9" s="26" t="s">
        <v>18</v>
      </c>
      <c r="D9" s="26" t="s">
        <v>43</v>
      </c>
      <c r="E9" s="27" t="s">
        <v>44</v>
      </c>
      <c r="F9" s="27" t="str">
        <f t="shared" si="0"/>
        <v>2024 Ford Mustang GT V8 AT/ GT Premium Fastback</v>
      </c>
      <c r="G9" s="26" t="s">
        <v>15</v>
      </c>
      <c r="H9" s="28"/>
      <c r="I9" s="29">
        <v>16.87</v>
      </c>
      <c r="J9" s="29">
        <v>12.53</v>
      </c>
      <c r="K9" s="34">
        <v>1288000</v>
      </c>
      <c r="L9" s="34">
        <f>55210*I9</f>
        <v>931392.70000000007</v>
      </c>
      <c r="M9" s="34">
        <f>64070*J9</f>
        <v>802797.1</v>
      </c>
      <c r="N9" s="34">
        <f t="shared" si="1"/>
        <v>1110344.8275862071</v>
      </c>
      <c r="O9" s="34">
        <v>0</v>
      </c>
      <c r="P9" s="34">
        <f>L9-(2240*I9)</f>
        <v>893603.9</v>
      </c>
      <c r="Q9" s="34">
        <f>M9-(2195*J9)</f>
        <v>775293.75</v>
      </c>
      <c r="R9" s="28"/>
      <c r="S9" s="27"/>
      <c r="U9" s="11" t="s">
        <v>93</v>
      </c>
      <c r="V9" s="12">
        <v>351900</v>
      </c>
      <c r="W9" s="12">
        <v>323904</v>
      </c>
      <c r="X9" s="12">
        <v>322885.57</v>
      </c>
      <c r="Z9" s="11" t="s">
        <v>93</v>
      </c>
      <c r="AA9" s="12">
        <v>303362.06896551728</v>
      </c>
      <c r="AB9" s="12">
        <v>304672.2</v>
      </c>
      <c r="AC9" s="12">
        <v>254333.94</v>
      </c>
    </row>
    <row r="10" spans="1:29">
      <c r="A10" s="6"/>
      <c r="B10" s="27">
        <v>2024</v>
      </c>
      <c r="C10" s="27" t="s">
        <v>70</v>
      </c>
      <c r="D10" s="27" t="s">
        <v>71</v>
      </c>
      <c r="E10" s="27" t="s">
        <v>72</v>
      </c>
      <c r="F10" s="27" t="str">
        <f t="shared" si="0"/>
        <v>2024 GMC Yukon Denali</v>
      </c>
      <c r="G10" s="27" t="s">
        <v>13</v>
      </c>
      <c r="H10" s="27"/>
      <c r="I10" s="29">
        <v>16.87</v>
      </c>
      <c r="J10" s="29">
        <v>12.53</v>
      </c>
      <c r="K10" s="34">
        <v>2173900</v>
      </c>
      <c r="L10" s="34">
        <f>86820*I10</f>
        <v>1464653.4000000001</v>
      </c>
      <c r="M10" s="34">
        <f>123628*J10</f>
        <v>1549058.8399999999</v>
      </c>
      <c r="N10" s="34">
        <f t="shared" si="1"/>
        <v>1874051.7241379311</v>
      </c>
      <c r="O10" s="34">
        <v>0</v>
      </c>
      <c r="P10" s="34">
        <f>L10-(1995*I10)</f>
        <v>1430997.7500000002</v>
      </c>
      <c r="Q10" s="34">
        <f>M10-(6969*J10)</f>
        <v>1461737.2699999998</v>
      </c>
      <c r="R10" s="31"/>
      <c r="S10" s="31"/>
      <c r="U10" s="11" t="s">
        <v>90</v>
      </c>
      <c r="V10" s="12">
        <v>537900</v>
      </c>
      <c r="W10" s="12">
        <v>317915.15000000002</v>
      </c>
      <c r="X10" s="12">
        <v>250524.81999999998</v>
      </c>
      <c r="Z10" s="32" t="s">
        <v>15</v>
      </c>
      <c r="AA10" s="12">
        <v>303362.06896551728</v>
      </c>
      <c r="AB10" s="12">
        <v>304672.2</v>
      </c>
      <c r="AC10" s="12">
        <v>254333.94</v>
      </c>
    </row>
    <row r="11" spans="1:29">
      <c r="A11" s="8"/>
      <c r="B11" s="22">
        <v>2024</v>
      </c>
      <c r="C11" s="22" t="s">
        <v>10</v>
      </c>
      <c r="D11" s="22" t="s">
        <v>11</v>
      </c>
      <c r="E11" s="23" t="s">
        <v>57</v>
      </c>
      <c r="F11" s="23" t="str">
        <f t="shared" si="0"/>
        <v>2024 Honda CR-V LX 2WD</v>
      </c>
      <c r="G11" s="22" t="s">
        <v>13</v>
      </c>
      <c r="H11" s="24">
        <v>12405</v>
      </c>
      <c r="I11" s="25">
        <v>16.87</v>
      </c>
      <c r="J11" s="25">
        <v>12.53</v>
      </c>
      <c r="K11" s="33">
        <v>739900</v>
      </c>
      <c r="L11" s="33">
        <f>32650*I11</f>
        <v>550805.5</v>
      </c>
      <c r="M11" s="33">
        <f>40224*J11</f>
        <v>504006.72</v>
      </c>
      <c r="N11" s="33">
        <f t="shared" si="1"/>
        <v>637844.82758620696</v>
      </c>
      <c r="O11" s="33">
        <v>0</v>
      </c>
      <c r="P11" s="33">
        <f>L11-(1350*I11)</f>
        <v>528031</v>
      </c>
      <c r="Q11" s="33">
        <f>M11-(J11*2133.5)</f>
        <v>477273.96499999997</v>
      </c>
      <c r="R11" s="24"/>
      <c r="S11" s="23"/>
      <c r="U11" s="11" t="s">
        <v>94</v>
      </c>
      <c r="V11" s="12">
        <v>562800</v>
      </c>
      <c r="W11" s="12">
        <v>508040.05000000005</v>
      </c>
      <c r="X11" s="12">
        <v>512730.3566</v>
      </c>
      <c r="Z11" s="11" t="s">
        <v>90</v>
      </c>
      <c r="AA11" s="12">
        <v>463706.89655172417</v>
      </c>
      <c r="AB11" s="12">
        <v>298430.30000000005</v>
      </c>
      <c r="AC11" s="12">
        <v>219838.84999999998</v>
      </c>
    </row>
    <row r="12" spans="1:29" ht="43.2">
      <c r="A12" s="8"/>
      <c r="B12" s="22">
        <v>2023</v>
      </c>
      <c r="C12" s="22" t="s">
        <v>20</v>
      </c>
      <c r="D12" s="22" t="s">
        <v>21</v>
      </c>
      <c r="E12" s="23" t="s">
        <v>79</v>
      </c>
      <c r="F12" s="23" t="str">
        <f t="shared" si="0"/>
        <v>2023 Hyundai Tucson Ltd Tech/SEL/Preffered</v>
      </c>
      <c r="G12" s="22" t="s">
        <v>13</v>
      </c>
      <c r="H12" s="24">
        <v>7034</v>
      </c>
      <c r="I12" s="25">
        <v>16.87</v>
      </c>
      <c r="J12" s="25">
        <v>12.53</v>
      </c>
      <c r="K12" s="33">
        <v>744400</v>
      </c>
      <c r="L12" s="33">
        <f>33485*I12</f>
        <v>564891.95000000007</v>
      </c>
      <c r="M12" s="33">
        <f>41958.26*J12</f>
        <v>525736.99780000001</v>
      </c>
      <c r="N12" s="33">
        <f t="shared" si="1"/>
        <v>641724.13793103455</v>
      </c>
      <c r="O12" s="33">
        <v>0</v>
      </c>
      <c r="P12" s="33">
        <f>L12-(1335*I12)</f>
        <v>542370.50000000012</v>
      </c>
      <c r="Q12" s="33">
        <f>M12-(2682.2*J12)</f>
        <v>492129.0318</v>
      </c>
      <c r="R12" s="24"/>
      <c r="S12" s="23" t="s">
        <v>58</v>
      </c>
      <c r="U12" s="11" t="s">
        <v>92</v>
      </c>
      <c r="V12" s="12">
        <v>739900</v>
      </c>
      <c r="W12" s="12">
        <v>550805.5</v>
      </c>
      <c r="X12" s="12">
        <v>504006.72</v>
      </c>
      <c r="Z12" s="32" t="s">
        <v>15</v>
      </c>
      <c r="AA12" s="12">
        <v>463706.89655172417</v>
      </c>
      <c r="AB12" s="12">
        <v>298430.30000000005</v>
      </c>
      <c r="AC12" s="12">
        <v>219838.84999999998</v>
      </c>
    </row>
    <row r="13" spans="1:29">
      <c r="A13" s="5"/>
      <c r="B13" s="26">
        <v>2024</v>
      </c>
      <c r="C13" s="26" t="s">
        <v>47</v>
      </c>
      <c r="D13" s="27" t="s">
        <v>48</v>
      </c>
      <c r="E13" s="27" t="s">
        <v>99</v>
      </c>
      <c r="F13" s="27" t="str">
        <f t="shared" si="0"/>
        <v>2024 JEEP Wrangler Rubicon 2 door</v>
      </c>
      <c r="G13" s="26" t="s">
        <v>13</v>
      </c>
      <c r="H13" s="28"/>
      <c r="I13" s="29">
        <v>16.87</v>
      </c>
      <c r="J13" s="29">
        <v>12.53</v>
      </c>
      <c r="K13" s="34">
        <v>1478900</v>
      </c>
      <c r="L13" s="34">
        <f>59165*I13</f>
        <v>998113.55</v>
      </c>
      <c r="M13" s="34">
        <f>75890*J13</f>
        <v>950901.7</v>
      </c>
      <c r="N13" s="34">
        <f t="shared" si="1"/>
        <v>1274913.7931034483</v>
      </c>
      <c r="O13" s="34">
        <v>0</v>
      </c>
      <c r="P13" s="34">
        <f>L13-(1895*I13)</f>
        <v>966144.9</v>
      </c>
      <c r="Q13" s="34">
        <f>M13-(10624.6*J13)</f>
        <v>817775.46199999994</v>
      </c>
      <c r="R13" s="28"/>
      <c r="S13" s="27"/>
      <c r="U13" s="11" t="s">
        <v>95</v>
      </c>
      <c r="V13" s="12">
        <v>744400</v>
      </c>
      <c r="W13" s="12">
        <v>564891.95000000007</v>
      </c>
      <c r="X13" s="12">
        <v>525736.99780000001</v>
      </c>
      <c r="Z13" s="11" t="s">
        <v>94</v>
      </c>
      <c r="AA13" s="12">
        <v>485172.41379310348</v>
      </c>
      <c r="AB13" s="12">
        <v>485265.55000000005</v>
      </c>
      <c r="AC13" s="12">
        <v>415372.25660000002</v>
      </c>
    </row>
    <row r="14" spans="1:29">
      <c r="A14" s="8"/>
      <c r="B14" s="22">
        <v>2023</v>
      </c>
      <c r="C14" s="22" t="s">
        <v>22</v>
      </c>
      <c r="D14" s="23" t="s">
        <v>32</v>
      </c>
      <c r="E14" s="23" t="s">
        <v>33</v>
      </c>
      <c r="F14" s="23" t="str">
        <f t="shared" si="0"/>
        <v>2023 KIA Rio 5door HB</v>
      </c>
      <c r="G14" s="22" t="s">
        <v>15</v>
      </c>
      <c r="H14" s="24">
        <v>28534</v>
      </c>
      <c r="I14" s="25">
        <v>16.87</v>
      </c>
      <c r="J14" s="25">
        <v>12.53</v>
      </c>
      <c r="K14" s="33">
        <v>537900</v>
      </c>
      <c r="L14" s="33">
        <f>18845*'Analysis 1'!I11</f>
        <v>317915.15000000002</v>
      </c>
      <c r="M14" s="33">
        <f>19994*J14</f>
        <v>250524.81999999998</v>
      </c>
      <c r="N14" s="33">
        <f t="shared" si="1"/>
        <v>463706.89655172417</v>
      </c>
      <c r="O14" s="33">
        <v>0</v>
      </c>
      <c r="P14" s="33">
        <f>L14-(1155*I14)</f>
        <v>298430.30000000005</v>
      </c>
      <c r="Q14" s="33">
        <f>M14-(2449*J14)</f>
        <v>219838.84999999998</v>
      </c>
      <c r="R14" s="24" t="s">
        <v>34</v>
      </c>
      <c r="S14" s="23"/>
      <c r="U14" s="11" t="s">
        <v>53</v>
      </c>
      <c r="V14" s="12">
        <v>1046400</v>
      </c>
      <c r="W14" s="12">
        <v>931898.8</v>
      </c>
      <c r="X14" s="12">
        <v>827719.2699999999</v>
      </c>
      <c r="Z14" s="32" t="s">
        <v>13</v>
      </c>
      <c r="AA14" s="12">
        <v>485172.41379310348</v>
      </c>
      <c r="AB14" s="12">
        <v>485265.55000000005</v>
      </c>
      <c r="AC14" s="12">
        <v>415372.25660000002</v>
      </c>
    </row>
    <row r="15" spans="1:29">
      <c r="A15" s="8"/>
      <c r="B15" s="22">
        <v>2024</v>
      </c>
      <c r="C15" s="22" t="s">
        <v>7</v>
      </c>
      <c r="D15" s="23" t="s">
        <v>4</v>
      </c>
      <c r="E15" s="23" t="s">
        <v>28</v>
      </c>
      <c r="F15" s="23" t="str">
        <f t="shared" si="0"/>
        <v>2024 Nissan Versa Sense CVT</v>
      </c>
      <c r="G15" s="22" t="s">
        <v>15</v>
      </c>
      <c r="H15" s="24">
        <v>76926</v>
      </c>
      <c r="I15" s="25">
        <v>16.87</v>
      </c>
      <c r="J15" s="25">
        <v>12.53</v>
      </c>
      <c r="K15" s="33">
        <v>351900</v>
      </c>
      <c r="L15" s="33">
        <f>19200*I15</f>
        <v>323904</v>
      </c>
      <c r="M15" s="33">
        <f>25769*J15</f>
        <v>322885.57</v>
      </c>
      <c r="N15" s="33">
        <f t="shared" si="1"/>
        <v>303362.06896551728</v>
      </c>
      <c r="O15" s="33">
        <v>0</v>
      </c>
      <c r="P15" s="33">
        <f>L15-(1140*I15)</f>
        <v>304672.2</v>
      </c>
      <c r="Q15" s="33">
        <f>M15-(5471*J15)</f>
        <v>254333.94</v>
      </c>
      <c r="R15" s="24" t="s">
        <v>34</v>
      </c>
      <c r="S15" s="30" t="s">
        <v>25</v>
      </c>
      <c r="U15" s="11" t="s">
        <v>80</v>
      </c>
      <c r="V15" s="12">
        <v>1238000</v>
      </c>
      <c r="W15" s="12">
        <v>889639.45000000007</v>
      </c>
      <c r="X15" s="12">
        <v>811004.25</v>
      </c>
      <c r="Z15" s="11" t="s">
        <v>92</v>
      </c>
      <c r="AA15" s="12">
        <v>637844.82758620696</v>
      </c>
      <c r="AB15" s="12">
        <v>528031</v>
      </c>
      <c r="AC15" s="12">
        <v>477273.96499999997</v>
      </c>
    </row>
    <row r="16" spans="1:29">
      <c r="A16" s="5"/>
      <c r="B16" s="26">
        <v>2024</v>
      </c>
      <c r="C16" s="26" t="s">
        <v>45</v>
      </c>
      <c r="D16" s="27">
        <v>1500</v>
      </c>
      <c r="E16" s="27" t="s">
        <v>46</v>
      </c>
      <c r="F16" s="27" t="str">
        <f t="shared" si="0"/>
        <v>2024 RAM 1500 Limited</v>
      </c>
      <c r="G16" s="26" t="s">
        <v>26</v>
      </c>
      <c r="H16" s="28"/>
      <c r="I16" s="29">
        <v>16.87</v>
      </c>
      <c r="J16" s="29">
        <v>12.53</v>
      </c>
      <c r="K16" s="34">
        <v>1559900</v>
      </c>
      <c r="L16" s="34">
        <f>76735*I16</f>
        <v>1294519.4500000002</v>
      </c>
      <c r="M16" s="34">
        <f>88038*J16</f>
        <v>1103116.1399999999</v>
      </c>
      <c r="N16" s="34">
        <f t="shared" si="1"/>
        <v>1344741.3793103448</v>
      </c>
      <c r="O16" s="34">
        <v>0</v>
      </c>
      <c r="P16" s="34">
        <f>L16-(1995*I16)</f>
        <v>1260863.8000000003</v>
      </c>
      <c r="Q16" s="34">
        <f>M16-(10102*J16)</f>
        <v>976538.07999999984</v>
      </c>
      <c r="R16" s="28"/>
      <c r="S16" s="27"/>
      <c r="U16" s="11" t="s">
        <v>91</v>
      </c>
      <c r="V16" s="12">
        <v>1288000</v>
      </c>
      <c r="W16" s="12">
        <v>931392.70000000007</v>
      </c>
      <c r="X16" s="12">
        <v>802797.1</v>
      </c>
      <c r="Z16" s="32" t="s">
        <v>13</v>
      </c>
      <c r="AA16" s="12">
        <v>637844.82758620696</v>
      </c>
      <c r="AB16" s="12">
        <v>528031</v>
      </c>
      <c r="AC16" s="12">
        <v>477273.96499999997</v>
      </c>
    </row>
    <row r="17" spans="1:29">
      <c r="A17" s="8"/>
      <c r="B17" s="22">
        <v>2024</v>
      </c>
      <c r="C17" s="22" t="s">
        <v>9</v>
      </c>
      <c r="D17" s="23" t="s">
        <v>8</v>
      </c>
      <c r="E17" s="23" t="s">
        <v>30</v>
      </c>
      <c r="F17" s="23" t="str">
        <f t="shared" si="0"/>
        <v>2024 Toyota Rav4 LE FWD GAS</v>
      </c>
      <c r="G17" s="22" t="s">
        <v>13</v>
      </c>
      <c r="H17" s="24">
        <v>15438</v>
      </c>
      <c r="I17" s="25">
        <v>16.87</v>
      </c>
      <c r="J17" s="25">
        <v>12.53</v>
      </c>
      <c r="K17" s="33">
        <v>562800</v>
      </c>
      <c r="L17" s="33">
        <f>30115*I17</f>
        <v>508040.05000000005</v>
      </c>
      <c r="M17" s="33">
        <f>40920.22*J17</f>
        <v>512730.3566</v>
      </c>
      <c r="N17" s="33">
        <f t="shared" si="1"/>
        <v>485172.41379310348</v>
      </c>
      <c r="O17" s="33">
        <v>0</v>
      </c>
      <c r="P17" s="33">
        <f>L17-(1350*I17)</f>
        <v>485265.55000000005</v>
      </c>
      <c r="Q17" s="33">
        <f>M17-(7770*J17)</f>
        <v>415372.25660000002</v>
      </c>
      <c r="R17" s="24"/>
      <c r="S17" s="23"/>
      <c r="U17" s="11" t="s">
        <v>81</v>
      </c>
      <c r="V17" s="12">
        <v>1475000</v>
      </c>
      <c r="W17" s="12">
        <v>1326403.75</v>
      </c>
      <c r="X17" s="12">
        <v>1127261.45</v>
      </c>
      <c r="Z17" s="11" t="s">
        <v>95</v>
      </c>
      <c r="AA17" s="12">
        <v>641724.13793103455</v>
      </c>
      <c r="AB17" s="12">
        <v>542370.50000000012</v>
      </c>
      <c r="AC17" s="12">
        <v>492129.0318</v>
      </c>
    </row>
    <row r="18" spans="1:29">
      <c r="A18" s="8"/>
      <c r="B18" s="22">
        <v>2024</v>
      </c>
      <c r="C18" s="22" t="s">
        <v>9</v>
      </c>
      <c r="D18" s="23" t="s">
        <v>14</v>
      </c>
      <c r="E18" s="23" t="s">
        <v>31</v>
      </c>
      <c r="F18" s="23" t="str">
        <f t="shared" si="0"/>
        <v>2024 Toyota Corolla LE CVT</v>
      </c>
      <c r="G18" s="22" t="s">
        <v>15</v>
      </c>
      <c r="H18" s="24">
        <v>11526</v>
      </c>
      <c r="I18" s="25">
        <v>16.87</v>
      </c>
      <c r="J18" s="25">
        <v>12.53</v>
      </c>
      <c r="K18" s="33">
        <v>449900</v>
      </c>
      <c r="L18" s="33">
        <f>30025*I18</f>
        <v>506521.75000000006</v>
      </c>
      <c r="M18" s="33">
        <f>30942.32*J18</f>
        <v>387707.2696</v>
      </c>
      <c r="N18" s="33">
        <f>(K18/1.16)-15000</f>
        <v>372844.8275862069</v>
      </c>
      <c r="O18" s="33">
        <v>15000</v>
      </c>
      <c r="P18" s="33">
        <f>L18-(1095*I18)</f>
        <v>488049.10000000003</v>
      </c>
      <c r="Q18" s="33">
        <f>M18-(6452*J18)</f>
        <v>306863.7096</v>
      </c>
      <c r="R18" s="24"/>
      <c r="S18" s="23"/>
      <c r="U18" s="11" t="s">
        <v>101</v>
      </c>
      <c r="V18" s="12">
        <v>1478900</v>
      </c>
      <c r="W18" s="12">
        <v>998113.55</v>
      </c>
      <c r="X18" s="12">
        <v>950901.7</v>
      </c>
      <c r="Z18" s="32" t="s">
        <v>13</v>
      </c>
      <c r="AA18" s="12">
        <v>641724.13793103455</v>
      </c>
      <c r="AB18" s="12">
        <v>542370.50000000012</v>
      </c>
      <c r="AC18" s="12">
        <v>492129.0318</v>
      </c>
    </row>
    <row r="19" spans="1:29">
      <c r="A19" s="5"/>
      <c r="B19" s="26">
        <v>2024</v>
      </c>
      <c r="C19" s="26" t="s">
        <v>9</v>
      </c>
      <c r="D19" s="27" t="s">
        <v>49</v>
      </c>
      <c r="E19" s="27" t="s">
        <v>62</v>
      </c>
      <c r="F19" s="27" t="str">
        <f t="shared" si="0"/>
        <v>2024 Toyota Sienna LE</v>
      </c>
      <c r="G19" s="26" t="s">
        <v>13</v>
      </c>
      <c r="H19" s="28"/>
      <c r="I19" s="29">
        <v>16.87</v>
      </c>
      <c r="J19" s="29">
        <v>12.53</v>
      </c>
      <c r="K19" s="34">
        <v>891600</v>
      </c>
      <c r="L19" s="34">
        <f>39080*I19</f>
        <v>659279.60000000009</v>
      </c>
      <c r="M19" s="34">
        <f>54254.22*J19</f>
        <v>679805.37659999996</v>
      </c>
      <c r="N19" s="34">
        <f t="shared" si="1"/>
        <v>768620.68965517252</v>
      </c>
      <c r="O19" s="34">
        <v>0</v>
      </c>
      <c r="P19" s="34">
        <f>L19-(1395*I19)</f>
        <v>635745.95000000007</v>
      </c>
      <c r="Q19" s="34">
        <f>M19-(9304.22*J19)</f>
        <v>563223.5</v>
      </c>
      <c r="R19" s="28"/>
      <c r="S19" s="27"/>
      <c r="U19" s="11" t="s">
        <v>56</v>
      </c>
      <c r="V19" s="12">
        <v>1559900</v>
      </c>
      <c r="W19" s="12">
        <v>1294519.4500000002</v>
      </c>
      <c r="X19" s="12">
        <v>1103116.1399999999</v>
      </c>
      <c r="Z19" s="11" t="s">
        <v>53</v>
      </c>
      <c r="AA19" s="12">
        <v>902068.96551724139</v>
      </c>
      <c r="AB19" s="12">
        <v>899930.15</v>
      </c>
      <c r="AC19" s="12">
        <v>791056.48999999987</v>
      </c>
    </row>
    <row r="20" spans="1:29">
      <c r="A20" s="9"/>
      <c r="B20" s="22">
        <v>2024</v>
      </c>
      <c r="C20" s="24" t="s">
        <v>9</v>
      </c>
      <c r="D20" s="24" t="s">
        <v>63</v>
      </c>
      <c r="E20" s="24" t="s">
        <v>64</v>
      </c>
      <c r="F20" s="24" t="str">
        <f t="shared" si="0"/>
        <v>2024 Toyota Tacoma SR 4x4</v>
      </c>
      <c r="G20" s="24" t="s">
        <v>26</v>
      </c>
      <c r="H20" s="24"/>
      <c r="I20" s="25">
        <v>16.87</v>
      </c>
      <c r="J20" s="25">
        <v>12.53</v>
      </c>
      <c r="K20" s="33">
        <v>839900</v>
      </c>
      <c r="L20" s="33">
        <f>38455*I20</f>
        <v>648735.85000000009</v>
      </c>
      <c r="M20" s="33">
        <f>56514.22*J20</f>
        <v>708123.17660000001</v>
      </c>
      <c r="N20" s="33">
        <f t="shared" si="1"/>
        <v>724051.72413793113</v>
      </c>
      <c r="O20" s="33">
        <v>0</v>
      </c>
      <c r="P20" s="33">
        <f>L20-(1495*I20)</f>
        <v>623515.20000000007</v>
      </c>
      <c r="Q20" s="33">
        <f>M20-(9564.22*J20)</f>
        <v>588283.5</v>
      </c>
      <c r="R20" s="24" t="s">
        <v>65</v>
      </c>
      <c r="S20" s="24"/>
      <c r="U20" s="11" t="s">
        <v>54</v>
      </c>
      <c r="V20" s="12">
        <v>1632000</v>
      </c>
      <c r="W20" s="12">
        <v>1174911.1500000001</v>
      </c>
      <c r="X20" s="12">
        <v>1217414.8</v>
      </c>
      <c r="Z20" s="32" t="s">
        <v>26</v>
      </c>
      <c r="AA20" s="12">
        <v>902068.96551724139</v>
      </c>
      <c r="AB20" s="12">
        <v>899930.15</v>
      </c>
      <c r="AC20" s="12">
        <v>791056.48999999987</v>
      </c>
    </row>
    <row r="21" spans="1:29" ht="28.8">
      <c r="A21" s="8"/>
      <c r="B21" s="22">
        <v>2023</v>
      </c>
      <c r="C21" s="22" t="s">
        <v>5</v>
      </c>
      <c r="D21" s="23" t="s">
        <v>6</v>
      </c>
      <c r="E21" s="23" t="s">
        <v>29</v>
      </c>
      <c r="F21" s="23" t="str">
        <f t="shared" si="0"/>
        <v>2023 VW Jetta S / Trendline Automatic</v>
      </c>
      <c r="G21" s="22" t="s">
        <v>15</v>
      </c>
      <c r="H21" s="24">
        <v>16344</v>
      </c>
      <c r="I21" s="25">
        <v>16.87</v>
      </c>
      <c r="J21" s="25">
        <v>12.53</v>
      </c>
      <c r="K21" s="33">
        <v>419770</v>
      </c>
      <c r="L21" s="33">
        <f>23460*I21</f>
        <v>395770.2</v>
      </c>
      <c r="M21" s="33">
        <f>27578*J21</f>
        <v>345552.33999999997</v>
      </c>
      <c r="N21" s="33">
        <f t="shared" si="1"/>
        <v>361870.68965517246</v>
      </c>
      <c r="O21" s="33">
        <v>0</v>
      </c>
      <c r="P21" s="33">
        <f>L21-(1225*I21)</f>
        <v>375104.45</v>
      </c>
      <c r="Q21" s="33">
        <f>M21-(2583*J21)</f>
        <v>313187.34999999998</v>
      </c>
      <c r="R21" s="24" t="s">
        <v>34</v>
      </c>
      <c r="S21" s="23" t="s">
        <v>38</v>
      </c>
      <c r="U21" s="11" t="s">
        <v>102</v>
      </c>
      <c r="V21" s="12">
        <v>1656600</v>
      </c>
      <c r="W21" s="12">
        <v>1196420.4000000001</v>
      </c>
      <c r="X21" s="12">
        <v>1141094.5699999998</v>
      </c>
      <c r="Z21" s="11" t="s">
        <v>80</v>
      </c>
      <c r="AA21" s="12">
        <v>969241.37931034481</v>
      </c>
      <c r="AB21" s="12">
        <v>845102.65</v>
      </c>
      <c r="AC21" s="12">
        <v>780994.9</v>
      </c>
    </row>
    <row r="22" spans="1:29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U22" s="11" t="s">
        <v>55</v>
      </c>
      <c r="V22" s="12">
        <v>2130000</v>
      </c>
      <c r="W22" s="12">
        <v>1386798.35</v>
      </c>
      <c r="X22" s="12">
        <v>1415689.52</v>
      </c>
      <c r="Z22" s="32" t="s">
        <v>26</v>
      </c>
      <c r="AA22" s="12">
        <v>969241.37931034481</v>
      </c>
      <c r="AB22" s="12">
        <v>845102.65</v>
      </c>
      <c r="AC22" s="12">
        <v>780994.9</v>
      </c>
    </row>
    <row r="23" spans="1:29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U23" s="11" t="s">
        <v>103</v>
      </c>
      <c r="V23" s="12">
        <v>2173900</v>
      </c>
      <c r="W23" s="12">
        <v>1464653.4000000001</v>
      </c>
      <c r="X23" s="12">
        <v>1549058.8399999999</v>
      </c>
      <c r="Z23" s="11" t="s">
        <v>91</v>
      </c>
      <c r="AA23" s="12">
        <v>1110344.8275862071</v>
      </c>
      <c r="AB23" s="12">
        <v>893603.9</v>
      </c>
      <c r="AC23" s="12">
        <v>775293.75</v>
      </c>
    </row>
    <row r="24" spans="1:29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U24" s="11" t="s">
        <v>104</v>
      </c>
      <c r="V24" s="12">
        <v>2631400</v>
      </c>
      <c r="W24" s="12">
        <v>1755576.55</v>
      </c>
      <c r="X24" s="12">
        <v>1780237.3399999999</v>
      </c>
      <c r="Z24" s="32" t="s">
        <v>15</v>
      </c>
      <c r="AA24" s="12">
        <v>1110344.8275862071</v>
      </c>
      <c r="AB24" s="12">
        <v>893603.9</v>
      </c>
      <c r="AC24" s="12">
        <v>775293.75</v>
      </c>
    </row>
    <row r="25" spans="1:29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3"/>
      <c r="Q25"/>
      <c r="R25"/>
      <c r="S25"/>
      <c r="U25" s="11" t="s">
        <v>51</v>
      </c>
      <c r="V25" s="12">
        <v>21247000</v>
      </c>
      <c r="W25" s="12">
        <v>15615884.200000003</v>
      </c>
      <c r="X25" s="12">
        <v>14842179.444399998</v>
      </c>
      <c r="Z25" s="11" t="s">
        <v>54</v>
      </c>
      <c r="AA25" s="12">
        <v>1116896.551724138</v>
      </c>
      <c r="AB25" s="12">
        <v>1133410.9500000002</v>
      </c>
      <c r="AC25" s="12">
        <v>1187405.45</v>
      </c>
    </row>
    <row r="26" spans="1:29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14"/>
      <c r="Q26"/>
      <c r="R26"/>
      <c r="S26"/>
      <c r="Z26" s="32" t="s">
        <v>26</v>
      </c>
      <c r="AA26" s="12">
        <v>1116896.551724138</v>
      </c>
      <c r="AB26" s="12">
        <v>1133410.9500000002</v>
      </c>
      <c r="AC26" s="12">
        <v>1187405.45</v>
      </c>
    </row>
    <row r="27" spans="1:29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 s="15"/>
      <c r="Q27"/>
      <c r="R27"/>
      <c r="S27"/>
      <c r="Z27" s="11" t="s">
        <v>102</v>
      </c>
      <c r="AA27" s="12">
        <v>1268103.4482758623</v>
      </c>
      <c r="AB27" s="12">
        <v>1164451.7500000002</v>
      </c>
      <c r="AC27" s="12">
        <v>1104431.7899999998</v>
      </c>
    </row>
    <row r="28" spans="1:29">
      <c r="S28"/>
      <c r="Z28" s="32" t="s">
        <v>13</v>
      </c>
      <c r="AA28" s="12">
        <v>1268103.4482758623</v>
      </c>
      <c r="AB28" s="12">
        <v>1164451.7500000002</v>
      </c>
      <c r="AC28" s="12">
        <v>1104431.7899999998</v>
      </c>
    </row>
    <row r="29" spans="1:29">
      <c r="S29"/>
      <c r="Z29" s="11" t="s">
        <v>81</v>
      </c>
      <c r="AA29" s="12">
        <v>1271551.7241379311</v>
      </c>
      <c r="AB29" s="12">
        <v>1292748.1000000001</v>
      </c>
      <c r="AC29" s="12">
        <v>1097252.0999999999</v>
      </c>
    </row>
    <row r="30" spans="1:29">
      <c r="S30"/>
      <c r="Z30" s="32" t="s">
        <v>26</v>
      </c>
      <c r="AA30" s="12">
        <v>1271551.7241379311</v>
      </c>
      <c r="AB30" s="12">
        <v>1292748.1000000001</v>
      </c>
      <c r="AC30" s="12">
        <v>1097252.0999999999</v>
      </c>
    </row>
    <row r="31" spans="1:29">
      <c r="B31"/>
      <c r="C31"/>
      <c r="S31"/>
      <c r="Z31" s="11" t="s">
        <v>101</v>
      </c>
      <c r="AA31" s="12">
        <v>1274913.7931034483</v>
      </c>
      <c r="AB31" s="12">
        <v>966144.9</v>
      </c>
      <c r="AC31" s="12">
        <v>817775.46199999994</v>
      </c>
    </row>
    <row r="32" spans="1:29">
      <c r="B32"/>
      <c r="C32"/>
      <c r="S32"/>
      <c r="Z32" s="32" t="s">
        <v>13</v>
      </c>
      <c r="AA32" s="12">
        <v>1274913.7931034483</v>
      </c>
      <c r="AB32" s="12">
        <v>966144.9</v>
      </c>
      <c r="AC32" s="12">
        <v>817775.46199999994</v>
      </c>
    </row>
    <row r="33" spans="2:29">
      <c r="B33"/>
      <c r="C33"/>
      <c r="D33"/>
      <c r="S33"/>
      <c r="Z33" s="11" t="s">
        <v>56</v>
      </c>
      <c r="AA33" s="12">
        <v>1344741.3793103448</v>
      </c>
      <c r="AB33" s="12">
        <v>1260863.8000000003</v>
      </c>
      <c r="AC33" s="12">
        <v>976538.07999999984</v>
      </c>
    </row>
    <row r="34" spans="2:29">
      <c r="S34"/>
      <c r="Z34" s="32" t="s">
        <v>26</v>
      </c>
      <c r="AA34" s="12">
        <v>1344741.3793103448</v>
      </c>
      <c r="AB34" s="12">
        <v>1260863.8000000003</v>
      </c>
      <c r="AC34" s="12">
        <v>976538.07999999984</v>
      </c>
    </row>
    <row r="35" spans="2:29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Z35" s="11" t="s">
        <v>55</v>
      </c>
      <c r="AA35" s="12">
        <v>1826206.8965517243</v>
      </c>
      <c r="AB35" s="12">
        <v>1342261.55</v>
      </c>
      <c r="AC35" s="12">
        <v>1358565.25</v>
      </c>
    </row>
    <row r="36" spans="2:29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Z36" s="32" t="s">
        <v>26</v>
      </c>
      <c r="AA36" s="12">
        <v>1826206.8965517243</v>
      </c>
      <c r="AB36" s="12">
        <v>1342261.55</v>
      </c>
      <c r="AC36" s="12">
        <v>1358565.25</v>
      </c>
    </row>
    <row r="37" spans="2:29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Z37" s="11" t="s">
        <v>103</v>
      </c>
      <c r="AA37" s="12">
        <v>1874051.7241379311</v>
      </c>
      <c r="AB37" s="12">
        <v>1430997.7500000002</v>
      </c>
      <c r="AC37" s="12">
        <v>1461737.2699999998</v>
      </c>
    </row>
    <row r="38" spans="2:29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Z38" s="32" t="s">
        <v>13</v>
      </c>
      <c r="AA38" s="12">
        <v>1874051.7241379311</v>
      </c>
      <c r="AB38" s="12">
        <v>1430997.7500000002</v>
      </c>
      <c r="AC38" s="12">
        <v>1461737.2699999998</v>
      </c>
    </row>
    <row r="39" spans="2:29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Z39" s="11" t="s">
        <v>104</v>
      </c>
      <c r="AA39" s="12">
        <v>2268448.2758620693</v>
      </c>
      <c r="AB39" s="12">
        <v>1721920.9000000001</v>
      </c>
      <c r="AC39" s="12">
        <v>1653133.0199999998</v>
      </c>
    </row>
    <row r="40" spans="2:29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Z40" s="32" t="s">
        <v>13</v>
      </c>
      <c r="AA40" s="12">
        <v>2268448.2758620693</v>
      </c>
      <c r="AB40" s="12">
        <v>1721920.9000000001</v>
      </c>
      <c r="AC40" s="12">
        <v>1653133.0199999998</v>
      </c>
    </row>
    <row r="41" spans="2:29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Z41" s="11" t="s">
        <v>51</v>
      </c>
      <c r="AA41" s="12">
        <v>17758379.31034483</v>
      </c>
      <c r="AB41" s="12">
        <v>15110205.950000003</v>
      </c>
      <c r="AC41" s="12">
        <v>13863131.605399998</v>
      </c>
    </row>
    <row r="42" spans="2:29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2:29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2:29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2:29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2:29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2:29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2:29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2:19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2:19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2:19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2:19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2:19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2:19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2:19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2:19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2:19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2:19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2:19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2:19">
      <c r="B60"/>
      <c r="C60"/>
      <c r="D60"/>
      <c r="E60"/>
    </row>
    <row r="61" spans="2:19">
      <c r="C61"/>
    </row>
    <row r="62" spans="2:19">
      <c r="C62"/>
    </row>
    <row r="63" spans="2:19">
      <c r="C63"/>
    </row>
    <row r="64" spans="2:19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</sheetData>
  <autoFilter ref="A1:S13" xr:uid="{F6544555-7CF2-4E1E-B199-141E98E035FB}">
    <sortState xmlns:xlrd2="http://schemas.microsoft.com/office/spreadsheetml/2017/richdata2" ref="A2:S21">
      <sortCondition ref="C1:C13"/>
    </sortState>
  </autoFilter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5ED71-30C4-4516-8407-36C6A5F237CD}">
  <dimension ref="A1:Y135"/>
  <sheetViews>
    <sheetView tabSelected="1" zoomScaleNormal="100" workbookViewId="0">
      <selection activeCell="F1" sqref="F1"/>
    </sheetView>
  </sheetViews>
  <sheetFormatPr baseColWidth="10" defaultRowHeight="14.4"/>
  <cols>
    <col min="1" max="1" width="29.88671875" style="2" customWidth="1"/>
    <col min="2" max="2" width="13.44140625" style="2" customWidth="1"/>
    <col min="3" max="3" width="11.77734375" style="2" customWidth="1"/>
    <col min="4" max="4" width="39.33203125" style="2" bestFit="1" customWidth="1"/>
    <col min="5" max="5" width="20.6640625" style="2" bestFit="1" customWidth="1"/>
    <col min="6" max="6" width="22.77734375" style="38" bestFit="1" customWidth="1"/>
    <col min="7" max="7" width="16" style="38" bestFit="1" customWidth="1"/>
    <col min="8" max="8" width="18.77734375" style="2" hidden="1" customWidth="1"/>
    <col min="9" max="9" width="18.44140625" style="2" hidden="1" customWidth="1"/>
    <col min="10" max="10" width="19" style="2" customWidth="1"/>
    <col min="11" max="14" width="19" style="2" hidden="1" customWidth="1"/>
    <col min="15" max="15" width="18.33203125" style="2" hidden="1" customWidth="1"/>
    <col min="16" max="16" width="21.6640625" style="2" hidden="1" customWidth="1"/>
    <col min="17" max="18" width="22.33203125" style="2" customWidth="1"/>
    <col min="19" max="19" width="9.6640625" style="2" bestFit="1" customWidth="1"/>
    <col min="20" max="20" width="19.21875" style="2" bestFit="1" customWidth="1"/>
    <col min="21" max="21" width="38.44140625" style="2" bestFit="1" customWidth="1"/>
    <col min="22" max="22" width="6.88671875" style="2" bestFit="1" customWidth="1"/>
    <col min="23" max="16384" width="11.5546875" style="2"/>
  </cols>
  <sheetData>
    <row r="1" spans="1:25" ht="28.8">
      <c r="A1" s="36" t="s">
        <v>108</v>
      </c>
      <c r="B1" s="36" t="s">
        <v>3</v>
      </c>
      <c r="C1" s="35" t="s">
        <v>113</v>
      </c>
      <c r="D1" s="36" t="s">
        <v>116</v>
      </c>
      <c r="E1" s="36" t="s">
        <v>105</v>
      </c>
      <c r="F1" s="37" t="s">
        <v>205</v>
      </c>
      <c r="G1" s="37" t="s">
        <v>202</v>
      </c>
      <c r="H1" s="37" t="s">
        <v>199</v>
      </c>
      <c r="I1" s="37" t="s">
        <v>204</v>
      </c>
      <c r="J1" s="37" t="s">
        <v>203</v>
      </c>
      <c r="K1" s="37" t="s">
        <v>200</v>
      </c>
      <c r="L1" s="37" t="s">
        <v>201</v>
      </c>
      <c r="M1" s="40" t="s">
        <v>109</v>
      </c>
      <c r="N1" s="40" t="s">
        <v>110</v>
      </c>
      <c r="O1" s="40" t="s">
        <v>110</v>
      </c>
      <c r="P1" s="37" t="s">
        <v>111</v>
      </c>
      <c r="Q1" s="37" t="s">
        <v>192</v>
      </c>
      <c r="R1" s="37" t="s">
        <v>192</v>
      </c>
      <c r="S1"/>
      <c r="T1"/>
      <c r="U1"/>
      <c r="V1"/>
      <c r="W1"/>
      <c r="X1"/>
      <c r="Y1"/>
    </row>
    <row r="2" spans="1:25">
      <c r="A2" s="59" t="s">
        <v>107</v>
      </c>
      <c r="B2" s="2">
        <v>2024</v>
      </c>
      <c r="D2" s="2" t="s">
        <v>141</v>
      </c>
      <c r="E2" s="2" t="s">
        <v>115</v>
      </c>
      <c r="F2" s="43">
        <v>699900</v>
      </c>
      <c r="G2" s="43">
        <f>I2*$A$5</f>
        <v>647640.07200000004</v>
      </c>
      <c r="H2" s="43">
        <v>36895</v>
      </c>
      <c r="I2" s="43">
        <f t="shared" ref="I2:I7" si="0">H2*1.06</f>
        <v>39108.700000000004</v>
      </c>
      <c r="J2" s="43">
        <f>L2*$A$3</f>
        <v>621739.44999999984</v>
      </c>
      <c r="K2" s="43">
        <f>44315</f>
        <v>44315</v>
      </c>
      <c r="L2" s="43">
        <f t="shared" ref="L2:L7" si="1">K2*1.15</f>
        <v>50962.249999999993</v>
      </c>
      <c r="M2" s="38">
        <f>F2/1.16</f>
        <v>603362.06896551733</v>
      </c>
      <c r="N2" s="38">
        <f>(H2-O2)*$A$5</f>
        <v>592848</v>
      </c>
      <c r="O2" s="38">
        <v>1095</v>
      </c>
      <c r="P2" s="38">
        <f>2580+500+100</f>
        <v>3180</v>
      </c>
      <c r="Q2" s="58" t="s">
        <v>214</v>
      </c>
      <c r="R2" s="58"/>
      <c r="S2"/>
      <c r="T2"/>
      <c r="U2"/>
      <c r="V2"/>
      <c r="W2"/>
      <c r="X2"/>
      <c r="Y2"/>
    </row>
    <row r="3" spans="1:25">
      <c r="A3" s="60">
        <v>12.2</v>
      </c>
      <c r="B3" s="2">
        <v>2024</v>
      </c>
      <c r="D3" s="2" t="s">
        <v>142</v>
      </c>
      <c r="E3" s="2" t="s">
        <v>13</v>
      </c>
      <c r="F3" s="43">
        <v>1170000</v>
      </c>
      <c r="G3" s="43">
        <f t="shared" ref="G3:G63" si="2">I3*$A$5</f>
        <v>728386.63199999998</v>
      </c>
      <c r="H3" s="43">
        <v>41495</v>
      </c>
      <c r="I3" s="43">
        <f t="shared" si="0"/>
        <v>43984.700000000004</v>
      </c>
      <c r="J3" s="43">
        <f t="shared" ref="J3:J32" si="3">L3*$A$3</f>
        <v>710409.04999999981</v>
      </c>
      <c r="K3" s="44">
        <v>50635</v>
      </c>
      <c r="L3" s="43">
        <f t="shared" si="1"/>
        <v>58230.249999999993</v>
      </c>
      <c r="M3" s="38">
        <f t="shared" ref="M3:M32" si="4">F3/1.16</f>
        <v>1008620.6896551725</v>
      </c>
      <c r="N3" s="38">
        <f>(H3-O3)*$A$5</f>
        <v>670680</v>
      </c>
      <c r="O3" s="38">
        <v>995</v>
      </c>
      <c r="P3" s="38">
        <f>2995+595+100+16+6.5+22.76</f>
        <v>3735.26</v>
      </c>
      <c r="Q3" s="58"/>
      <c r="R3" s="58"/>
      <c r="S3"/>
      <c r="T3"/>
      <c r="U3"/>
      <c r="V3"/>
      <c r="W3"/>
      <c r="X3"/>
      <c r="Y3"/>
    </row>
    <row r="4" spans="1:25">
      <c r="A4" s="59" t="s">
        <v>106</v>
      </c>
      <c r="B4" s="2">
        <v>2024</v>
      </c>
      <c r="C4" s="2" t="s">
        <v>114</v>
      </c>
      <c r="D4" s="2" t="s">
        <v>117</v>
      </c>
      <c r="E4" s="2" t="s">
        <v>112</v>
      </c>
      <c r="F4" s="43">
        <v>1106400</v>
      </c>
      <c r="G4" s="43">
        <f t="shared" si="2"/>
        <v>983089.36800000002</v>
      </c>
      <c r="H4" s="43">
        <v>56005</v>
      </c>
      <c r="I4" s="43">
        <f t="shared" si="0"/>
        <v>59365.3</v>
      </c>
      <c r="J4" s="43">
        <f t="shared" si="3"/>
        <v>878207.85</v>
      </c>
      <c r="K4" s="43">
        <v>62595</v>
      </c>
      <c r="L4" s="43">
        <f t="shared" si="1"/>
        <v>71984.25</v>
      </c>
      <c r="M4" s="38">
        <f t="shared" si="4"/>
        <v>953793.10344827594</v>
      </c>
      <c r="N4" s="38">
        <f t="shared" ref="N4:N32" si="5">(H4-O4)*$A$5</f>
        <v>894405.6</v>
      </c>
      <c r="O4" s="38">
        <v>1995</v>
      </c>
      <c r="P4" s="38">
        <f>2200+100+699+10+22</f>
        <v>3031</v>
      </c>
      <c r="Q4" s="58"/>
      <c r="R4" s="58"/>
      <c r="S4"/>
      <c r="T4"/>
      <c r="U4"/>
      <c r="V4"/>
      <c r="W4"/>
      <c r="X4"/>
      <c r="Y4"/>
    </row>
    <row r="5" spans="1:25">
      <c r="A5" s="60">
        <v>16.559999999999999</v>
      </c>
      <c r="B5" s="2">
        <v>2024</v>
      </c>
      <c r="D5" s="2" t="s">
        <v>145</v>
      </c>
      <c r="E5" s="2" t="s">
        <v>13</v>
      </c>
      <c r="F5" s="43">
        <v>507000</v>
      </c>
      <c r="G5" s="43">
        <f t="shared" si="2"/>
        <v>401714.136</v>
      </c>
      <c r="H5" s="43">
        <v>22885</v>
      </c>
      <c r="I5" s="43">
        <f t="shared" si="0"/>
        <v>24258.100000000002</v>
      </c>
      <c r="J5" s="43">
        <f t="shared" si="3"/>
        <v>363699.68999999994</v>
      </c>
      <c r="K5" s="43">
        <v>25923</v>
      </c>
      <c r="L5" s="43">
        <f t="shared" si="1"/>
        <v>29811.449999999997</v>
      </c>
      <c r="M5" s="38">
        <f t="shared" si="4"/>
        <v>437068.96551724139</v>
      </c>
      <c r="N5" s="38">
        <f t="shared" si="5"/>
        <v>360842.39999999997</v>
      </c>
      <c r="O5" s="38">
        <v>1095</v>
      </c>
      <c r="P5" s="38">
        <f>2000+100+699+10+22</f>
        <v>2831</v>
      </c>
      <c r="Q5" s="58"/>
      <c r="R5" s="58"/>
      <c r="S5"/>
      <c r="T5"/>
      <c r="U5"/>
      <c r="V5"/>
      <c r="W5"/>
      <c r="X5"/>
      <c r="Y5"/>
    </row>
    <row r="6" spans="1:25">
      <c r="B6" s="2">
        <v>2024</v>
      </c>
      <c r="D6" s="2" t="s">
        <v>146</v>
      </c>
      <c r="E6" s="2" t="s">
        <v>13</v>
      </c>
      <c r="F6" s="43">
        <v>1702600</v>
      </c>
      <c r="G6" s="43">
        <f t="shared" si="2"/>
        <v>1184780.2319999998</v>
      </c>
      <c r="H6" s="43">
        <v>67495</v>
      </c>
      <c r="I6" s="43">
        <f t="shared" si="0"/>
        <v>71544.7</v>
      </c>
      <c r="J6" s="43">
        <f t="shared" si="3"/>
        <v>1233938.4999999998</v>
      </c>
      <c r="K6" s="43">
        <v>87950</v>
      </c>
      <c r="L6" s="43">
        <f t="shared" si="1"/>
        <v>101142.49999999999</v>
      </c>
      <c r="M6" s="38">
        <f t="shared" si="4"/>
        <v>1467758.6206896552</v>
      </c>
      <c r="N6" s="38">
        <f t="shared" si="5"/>
        <v>1084680</v>
      </c>
      <c r="O6" s="38">
        <v>1995</v>
      </c>
      <c r="P6" s="38">
        <f>2200+100+699+10+22</f>
        <v>3031</v>
      </c>
      <c r="Q6" s="58"/>
      <c r="R6" s="58"/>
      <c r="S6"/>
      <c r="T6"/>
      <c r="U6"/>
      <c r="V6"/>
      <c r="W6"/>
      <c r="X6"/>
      <c r="Y6"/>
    </row>
    <row r="7" spans="1:25">
      <c r="A7" s="58" t="s">
        <v>213</v>
      </c>
      <c r="B7" s="2">
        <v>2024</v>
      </c>
      <c r="D7" s="2" t="s">
        <v>149</v>
      </c>
      <c r="E7" s="2" t="s">
        <v>115</v>
      </c>
      <c r="F7" s="43">
        <v>1008000</v>
      </c>
      <c r="G7" s="43">
        <f t="shared" si="2"/>
        <v>701792.92799999996</v>
      </c>
      <c r="H7" s="43">
        <v>39980</v>
      </c>
      <c r="I7" s="43">
        <f t="shared" si="0"/>
        <v>42378.8</v>
      </c>
      <c r="J7" s="43">
        <f t="shared" si="3"/>
        <v>662566.74999999988</v>
      </c>
      <c r="K7" s="43">
        <v>47225</v>
      </c>
      <c r="L7" s="43">
        <f t="shared" si="1"/>
        <v>54308.749999999993</v>
      </c>
      <c r="M7" s="38">
        <f t="shared" si="4"/>
        <v>868965.51724137936</v>
      </c>
      <c r="N7" s="38">
        <f t="shared" si="5"/>
        <v>624974.39999999991</v>
      </c>
      <c r="O7" s="38">
        <f>1595+645</f>
        <v>2240</v>
      </c>
      <c r="P7" s="38">
        <f>2095+100</f>
        <v>2195</v>
      </c>
      <c r="Q7" s="58"/>
      <c r="R7" s="58"/>
      <c r="S7"/>
      <c r="T7"/>
      <c r="U7"/>
      <c r="V7"/>
      <c r="W7"/>
      <c r="X7"/>
      <c r="Y7"/>
    </row>
    <row r="8" spans="1:25">
      <c r="A8" s="58"/>
      <c r="B8" s="2">
        <v>2024</v>
      </c>
      <c r="D8" s="2" t="s">
        <v>190</v>
      </c>
      <c r="E8" s="2" t="s">
        <v>112</v>
      </c>
      <c r="F8" s="43">
        <v>1534900</v>
      </c>
      <c r="G8" s="43">
        <f t="shared" si="2"/>
        <v>1465901.1359999999</v>
      </c>
      <c r="H8" s="43">
        <v>83510</v>
      </c>
      <c r="I8" s="43">
        <f t="shared" ref="I8:I63" si="6">H8*1.06</f>
        <v>88520.6</v>
      </c>
      <c r="J8" s="43">
        <f t="shared" si="3"/>
        <v>1486927.4599999997</v>
      </c>
      <c r="K8" s="43">
        <v>105982</v>
      </c>
      <c r="L8" s="43">
        <f t="shared" ref="L8:L32" si="7">K8*1.15</f>
        <v>121879.29999999999</v>
      </c>
      <c r="M8" s="38">
        <f t="shared" si="4"/>
        <v>1323189.6551724139</v>
      </c>
      <c r="N8" s="38">
        <f t="shared" si="5"/>
        <v>1339207.2</v>
      </c>
      <c r="O8" s="38">
        <f>1995+645</f>
        <v>2640</v>
      </c>
      <c r="P8" s="38">
        <f>100+2295+997</f>
        <v>3392</v>
      </c>
      <c r="Q8"/>
      <c r="R8"/>
      <c r="S8"/>
      <c r="T8"/>
      <c r="U8"/>
      <c r="V8"/>
      <c r="W8"/>
      <c r="X8"/>
      <c r="Y8"/>
    </row>
    <row r="9" spans="1:25">
      <c r="A9" s="58"/>
      <c r="B9" s="2">
        <v>2024</v>
      </c>
      <c r="C9" s="2" t="s">
        <v>114</v>
      </c>
      <c r="D9" s="2" t="s">
        <v>197</v>
      </c>
      <c r="E9" s="2" t="s">
        <v>112</v>
      </c>
      <c r="F9" s="43">
        <v>802000</v>
      </c>
      <c r="G9" s="43">
        <f t="shared" si="2"/>
        <v>668616.62399999995</v>
      </c>
      <c r="H9" s="43">
        <v>38090</v>
      </c>
      <c r="I9" s="43">
        <f t="shared" si="6"/>
        <v>40375.4</v>
      </c>
      <c r="J9" s="43">
        <f t="shared" si="3"/>
        <v>656814.44999999984</v>
      </c>
      <c r="K9" s="43">
        <v>46815</v>
      </c>
      <c r="L9" s="43">
        <f t="shared" si="7"/>
        <v>53837.249999999993</v>
      </c>
      <c r="M9" s="38">
        <f t="shared" si="4"/>
        <v>691379.31034482759</v>
      </c>
      <c r="N9" s="38">
        <f t="shared" si="5"/>
        <v>593676</v>
      </c>
      <c r="O9" s="38">
        <f>1595+645</f>
        <v>2240</v>
      </c>
      <c r="P9" s="38">
        <f>100+2095</f>
        <v>2195</v>
      </c>
      <c r="Q9"/>
      <c r="R9"/>
      <c r="S9"/>
      <c r="T9"/>
      <c r="U9"/>
      <c r="V9"/>
      <c r="W9"/>
      <c r="X9"/>
      <c r="Y9"/>
    </row>
    <row r="10" spans="1:25">
      <c r="A10" s="58"/>
      <c r="B10" s="2">
        <v>2024</v>
      </c>
      <c r="D10" s="2" t="s">
        <v>179</v>
      </c>
      <c r="E10" s="2" t="s">
        <v>13</v>
      </c>
      <c r="F10" s="43">
        <v>743000</v>
      </c>
      <c r="G10" s="43">
        <f t="shared" si="2"/>
        <v>587518.99199999997</v>
      </c>
      <c r="H10" s="43">
        <v>33470</v>
      </c>
      <c r="I10" s="43">
        <f t="shared" si="6"/>
        <v>35478.200000000004</v>
      </c>
      <c r="J10" s="43">
        <f t="shared" si="3"/>
        <v>577895.69999999984</v>
      </c>
      <c r="K10" s="43">
        <v>41190</v>
      </c>
      <c r="L10" s="43">
        <f t="shared" si="7"/>
        <v>47368.499999999993</v>
      </c>
      <c r="M10" s="38">
        <f t="shared" si="4"/>
        <v>640517.24137931038</v>
      </c>
      <c r="N10" s="38">
        <f t="shared" si="5"/>
        <v>517168.8</v>
      </c>
      <c r="O10" s="38">
        <f>1595+645</f>
        <v>2240</v>
      </c>
      <c r="P10" s="38">
        <f>100+2195</f>
        <v>2295</v>
      </c>
      <c r="Q10"/>
      <c r="R10"/>
      <c r="S10"/>
      <c r="T10"/>
      <c r="U10"/>
      <c r="V10"/>
      <c r="W10"/>
      <c r="X10"/>
      <c r="Y10"/>
    </row>
    <row r="11" spans="1:25">
      <c r="B11" s="2">
        <v>2024</v>
      </c>
      <c r="C11" s="2" t="s">
        <v>114</v>
      </c>
      <c r="D11" s="2" t="s">
        <v>118</v>
      </c>
      <c r="E11" s="2" t="s">
        <v>112</v>
      </c>
      <c r="F11" s="43">
        <v>1739900</v>
      </c>
      <c r="G11" s="43">
        <f t="shared" si="2"/>
        <v>1398056.4719999998</v>
      </c>
      <c r="H11" s="43">
        <v>79645</v>
      </c>
      <c r="I11" s="43">
        <f t="shared" si="6"/>
        <v>84423.7</v>
      </c>
      <c r="J11" s="43">
        <f t="shared" si="3"/>
        <v>1381113.1999999997</v>
      </c>
      <c r="K11" s="43">
        <v>98440</v>
      </c>
      <c r="L11" s="43">
        <f t="shared" si="7"/>
        <v>113205.99999999999</v>
      </c>
      <c r="M11" s="38">
        <f t="shared" si="4"/>
        <v>1499913.7931034483</v>
      </c>
      <c r="N11" s="38">
        <f t="shared" si="5"/>
        <v>1285884</v>
      </c>
      <c r="O11" s="38">
        <v>1995</v>
      </c>
      <c r="P11" s="38">
        <f>2200+100+699+10+22</f>
        <v>3031</v>
      </c>
      <c r="Q11"/>
      <c r="R11"/>
      <c r="S11"/>
      <c r="T11"/>
      <c r="U11"/>
      <c r="V11"/>
      <c r="W11"/>
      <c r="X11"/>
      <c r="Y11"/>
    </row>
    <row r="12" spans="1:25">
      <c r="B12" s="2">
        <v>2024</v>
      </c>
      <c r="D12" s="2" t="s">
        <v>119</v>
      </c>
      <c r="E12" s="2" t="s">
        <v>112</v>
      </c>
      <c r="F12" s="43">
        <v>2173900</v>
      </c>
      <c r="G12" s="43">
        <f t="shared" si="2"/>
        <v>1577542.0320000001</v>
      </c>
      <c r="H12" s="43">
        <v>89870</v>
      </c>
      <c r="I12" s="43">
        <f t="shared" si="6"/>
        <v>95262.200000000012</v>
      </c>
      <c r="J12" s="43">
        <f t="shared" si="3"/>
        <v>1665894.1399999997</v>
      </c>
      <c r="K12" s="43">
        <v>118738</v>
      </c>
      <c r="L12" s="43">
        <f t="shared" si="7"/>
        <v>136548.69999999998</v>
      </c>
      <c r="M12" s="38">
        <f t="shared" si="4"/>
        <v>1874051.7241379311</v>
      </c>
      <c r="N12" s="38">
        <f t="shared" si="5"/>
        <v>1455210</v>
      </c>
      <c r="O12" s="38">
        <v>1995</v>
      </c>
      <c r="P12" s="38">
        <f>2200+100+699+10+22+3123</f>
        <v>6154</v>
      </c>
      <c r="Q12"/>
      <c r="R12"/>
      <c r="S12"/>
      <c r="T12"/>
      <c r="U12"/>
      <c r="V12"/>
      <c r="W12"/>
      <c r="X12"/>
      <c r="Y12"/>
    </row>
    <row r="13" spans="1:25">
      <c r="B13" s="2">
        <v>2024</v>
      </c>
      <c r="D13" s="2" t="s">
        <v>155</v>
      </c>
      <c r="E13" s="2" t="s">
        <v>13</v>
      </c>
      <c r="F13" s="43">
        <v>739900</v>
      </c>
      <c r="G13" s="43">
        <f t="shared" si="2"/>
        <v>573125.03999999992</v>
      </c>
      <c r="H13" s="43">
        <v>32650</v>
      </c>
      <c r="I13" s="43">
        <f t="shared" si="6"/>
        <v>34609</v>
      </c>
      <c r="J13" s="43">
        <f t="shared" si="3"/>
        <v>564344.12299999991</v>
      </c>
      <c r="K13" s="43">
        <v>40224.1</v>
      </c>
      <c r="L13" s="43">
        <f t="shared" si="7"/>
        <v>46257.714999999997</v>
      </c>
      <c r="M13" s="38">
        <f t="shared" si="4"/>
        <v>637844.82758620696</v>
      </c>
      <c r="N13" s="38">
        <f t="shared" si="5"/>
        <v>518327.99999999994</v>
      </c>
      <c r="O13" s="38">
        <v>1350</v>
      </c>
      <c r="P13" s="38">
        <f>2000+100+22.5+10+1</f>
        <v>2133.5</v>
      </c>
      <c r="R13"/>
      <c r="S13"/>
      <c r="T13"/>
      <c r="U13"/>
      <c r="V13"/>
      <c r="W13"/>
      <c r="X13"/>
      <c r="Y13"/>
    </row>
    <row r="14" spans="1:25">
      <c r="B14" s="2">
        <v>2024</v>
      </c>
      <c r="D14" s="2" t="s">
        <v>156</v>
      </c>
      <c r="E14" s="2" t="s">
        <v>115</v>
      </c>
      <c r="F14" s="43">
        <v>550900</v>
      </c>
      <c r="G14" s="43">
        <f t="shared" si="2"/>
        <v>439629.91199999995</v>
      </c>
      <c r="H14" s="43">
        <v>25045</v>
      </c>
      <c r="I14" s="43">
        <f t="shared" si="6"/>
        <v>26547.7</v>
      </c>
      <c r="J14" s="43">
        <f t="shared" si="3"/>
        <v>403411.60499999992</v>
      </c>
      <c r="K14" s="43">
        <v>28753.5</v>
      </c>
      <c r="L14" s="43">
        <f t="shared" si="7"/>
        <v>33066.524999999994</v>
      </c>
      <c r="M14" s="38">
        <f t="shared" si="4"/>
        <v>474913.79310344829</v>
      </c>
      <c r="N14" s="38">
        <f t="shared" si="5"/>
        <v>396611.99999999994</v>
      </c>
      <c r="O14" s="38">
        <v>1095</v>
      </c>
      <c r="P14" s="38">
        <f>1830+100+22.5+10+1</f>
        <v>1963.5</v>
      </c>
      <c r="R14"/>
      <c r="S14"/>
      <c r="T14"/>
      <c r="U14"/>
      <c r="V14"/>
      <c r="W14"/>
      <c r="X14"/>
      <c r="Y14"/>
    </row>
    <row r="15" spans="1:25">
      <c r="B15" s="2">
        <v>2024</v>
      </c>
      <c r="D15" s="2" t="s">
        <v>135</v>
      </c>
      <c r="E15" s="2" t="s">
        <v>115</v>
      </c>
      <c r="F15" s="43">
        <v>502500</v>
      </c>
      <c r="G15" s="43">
        <f t="shared" si="2"/>
        <v>399783.24</v>
      </c>
      <c r="H15" s="43">
        <v>22775</v>
      </c>
      <c r="I15" s="43">
        <f t="shared" si="6"/>
        <v>24141.5</v>
      </c>
      <c r="J15" s="43">
        <f t="shared" si="3"/>
        <v>372578.57549999992</v>
      </c>
      <c r="K15" s="43">
        <v>26555.85</v>
      </c>
      <c r="L15" s="43">
        <f t="shared" si="7"/>
        <v>30539.227499999997</v>
      </c>
      <c r="M15" s="38">
        <f t="shared" si="4"/>
        <v>433189.6551724138</v>
      </c>
      <c r="N15" s="38">
        <f t="shared" si="5"/>
        <v>358110</v>
      </c>
      <c r="O15" s="38">
        <v>1150</v>
      </c>
      <c r="P15" s="38">
        <f>1775+731.85</f>
        <v>2506.85</v>
      </c>
      <c r="R15"/>
      <c r="S15"/>
      <c r="T15"/>
      <c r="U15"/>
      <c r="V15"/>
      <c r="W15"/>
      <c r="X15"/>
      <c r="Y15"/>
    </row>
    <row r="16" spans="1:25">
      <c r="B16" s="2">
        <v>2024</v>
      </c>
      <c r="D16" s="2" t="s">
        <v>136</v>
      </c>
      <c r="E16" s="2" t="s">
        <v>13</v>
      </c>
      <c r="F16" s="43">
        <v>563100</v>
      </c>
      <c r="G16" s="43">
        <f t="shared" si="2"/>
        <v>506860.19999999995</v>
      </c>
      <c r="H16" s="43">
        <v>28875</v>
      </c>
      <c r="I16" s="43">
        <f t="shared" si="6"/>
        <v>30607.5</v>
      </c>
      <c r="J16" s="43">
        <f t="shared" si="3"/>
        <v>520950.73599999986</v>
      </c>
      <c r="K16" s="43">
        <v>37131.199999999997</v>
      </c>
      <c r="L16" s="43">
        <f t="shared" si="7"/>
        <v>42700.87999999999</v>
      </c>
      <c r="M16" s="38">
        <f t="shared" si="4"/>
        <v>485431.03448275867</v>
      </c>
      <c r="N16" s="38">
        <f t="shared" si="5"/>
        <v>455399.99999999994</v>
      </c>
      <c r="O16" s="38">
        <v>1375</v>
      </c>
      <c r="P16" s="38">
        <f>1950+732.2</f>
        <v>2682.2</v>
      </c>
      <c r="R16"/>
      <c r="S16"/>
      <c r="T16"/>
      <c r="U16"/>
      <c r="V16"/>
      <c r="W16"/>
      <c r="X16"/>
      <c r="Y16"/>
    </row>
    <row r="17" spans="2:25">
      <c r="B17" s="2">
        <v>2024</v>
      </c>
      <c r="C17" s="2" t="s">
        <v>114</v>
      </c>
      <c r="D17" s="2" t="s">
        <v>137</v>
      </c>
      <c r="E17" s="2" t="s">
        <v>115</v>
      </c>
      <c r="F17" s="43">
        <v>442900</v>
      </c>
      <c r="G17" s="43">
        <f t="shared" si="2"/>
        <v>379947.67199999996</v>
      </c>
      <c r="H17" s="43">
        <v>21645</v>
      </c>
      <c r="I17" s="43">
        <f t="shared" si="6"/>
        <v>22943.7</v>
      </c>
      <c r="J17" s="43">
        <f t="shared" si="3"/>
        <v>355576.31999999995</v>
      </c>
      <c r="K17" s="43">
        <v>25344</v>
      </c>
      <c r="L17" s="43">
        <f t="shared" si="7"/>
        <v>29145.599999999999</v>
      </c>
      <c r="M17" s="38">
        <f t="shared" si="4"/>
        <v>381810.34482758626</v>
      </c>
      <c r="N17" s="38">
        <f t="shared" si="5"/>
        <v>339314.39999999997</v>
      </c>
      <c r="O17" s="38">
        <v>1155</v>
      </c>
      <c r="P17" s="38">
        <v>2449</v>
      </c>
      <c r="R17"/>
      <c r="S17"/>
      <c r="T17"/>
      <c r="U17"/>
      <c r="V17"/>
      <c r="W17"/>
      <c r="X17"/>
      <c r="Y17"/>
    </row>
    <row r="18" spans="2:25">
      <c r="B18" s="2">
        <v>2024</v>
      </c>
      <c r="D18" s="2" t="s">
        <v>159</v>
      </c>
      <c r="E18" s="2" t="s">
        <v>13</v>
      </c>
      <c r="F18" s="43">
        <v>692900</v>
      </c>
      <c r="G18" s="43">
        <f t="shared" si="2"/>
        <v>501418.58399999997</v>
      </c>
      <c r="H18" s="43">
        <v>28565</v>
      </c>
      <c r="I18" s="43">
        <f t="shared" si="6"/>
        <v>30278.9</v>
      </c>
      <c r="J18" s="43">
        <f t="shared" si="3"/>
        <v>466413.31999999995</v>
      </c>
      <c r="K18" s="43">
        <v>33244</v>
      </c>
      <c r="L18" s="43">
        <f t="shared" si="7"/>
        <v>38230.6</v>
      </c>
      <c r="M18" s="38">
        <f t="shared" si="4"/>
        <v>597327.58620689658</v>
      </c>
      <c r="N18" s="38">
        <f t="shared" si="5"/>
        <v>450266.39999999997</v>
      </c>
      <c r="O18" s="38">
        <v>1375</v>
      </c>
      <c r="P18" s="38">
        <f>2649+100</f>
        <v>2749</v>
      </c>
      <c r="Q18"/>
      <c r="R18"/>
      <c r="S18"/>
      <c r="T18"/>
      <c r="U18"/>
      <c r="V18"/>
      <c r="W18"/>
      <c r="X18"/>
      <c r="Y18"/>
    </row>
    <row r="19" spans="2:25">
      <c r="B19" s="2">
        <v>2024</v>
      </c>
      <c r="D19" s="2" t="s">
        <v>163</v>
      </c>
      <c r="E19" s="2" t="s">
        <v>13</v>
      </c>
      <c r="F19" s="43">
        <v>416900</v>
      </c>
      <c r="G19" s="43">
        <f>I19*$A$5</f>
        <v>378543.38400000002</v>
      </c>
      <c r="H19" s="43">
        <v>21565</v>
      </c>
      <c r="I19" s="43">
        <f t="shared" si="6"/>
        <v>22858.9</v>
      </c>
      <c r="J19" s="43">
        <f t="shared" si="3"/>
        <v>356277.81999999995</v>
      </c>
      <c r="K19" s="43">
        <v>25394</v>
      </c>
      <c r="L19" s="43">
        <f t="shared" si="7"/>
        <v>29203.1</v>
      </c>
      <c r="M19" s="38">
        <f t="shared" si="4"/>
        <v>359396.55172413797</v>
      </c>
      <c r="N19" s="38">
        <f t="shared" si="5"/>
        <v>334346.39999999997</v>
      </c>
      <c r="O19" s="38">
        <v>1375</v>
      </c>
      <c r="P19" s="38">
        <v>2499</v>
      </c>
      <c r="Q19"/>
      <c r="R19"/>
      <c r="S19"/>
      <c r="T19"/>
      <c r="U19"/>
      <c r="V19"/>
      <c r="W19"/>
      <c r="X19"/>
      <c r="Y19"/>
    </row>
    <row r="20" spans="2:25">
      <c r="B20" s="2">
        <v>2024</v>
      </c>
      <c r="C20" s="2" t="s">
        <v>114</v>
      </c>
      <c r="D20" s="2" t="s">
        <v>120</v>
      </c>
      <c r="E20" s="2" t="s">
        <v>115</v>
      </c>
      <c r="F20" s="43">
        <v>402900</v>
      </c>
      <c r="G20" s="43">
        <f t="shared" si="2"/>
        <v>444720.45600000001</v>
      </c>
      <c r="H20" s="43">
        <v>25335</v>
      </c>
      <c r="I20" s="43">
        <f t="shared" si="6"/>
        <v>26855.100000000002</v>
      </c>
      <c r="J20" s="43">
        <f t="shared" si="3"/>
        <v>377736.70499999996</v>
      </c>
      <c r="K20" s="43">
        <v>26923.5</v>
      </c>
      <c r="L20" s="43">
        <f t="shared" si="7"/>
        <v>30962.024999999998</v>
      </c>
      <c r="M20" s="38">
        <f t="shared" si="4"/>
        <v>347327.58620689658</v>
      </c>
      <c r="N20" s="38">
        <f t="shared" si="5"/>
        <v>419547.6</v>
      </c>
      <c r="O20" s="38"/>
      <c r="P20" s="38"/>
      <c r="R20"/>
      <c r="S20"/>
      <c r="T20"/>
      <c r="U20"/>
      <c r="V20"/>
      <c r="W20"/>
      <c r="X20"/>
      <c r="Y20"/>
    </row>
    <row r="21" spans="2:25">
      <c r="B21" s="2">
        <v>2024</v>
      </c>
      <c r="C21" s="2" t="s">
        <v>114</v>
      </c>
      <c r="D21" s="2" t="s">
        <v>165</v>
      </c>
      <c r="E21" s="2" t="s">
        <v>13</v>
      </c>
      <c r="F21" s="43">
        <v>459900</v>
      </c>
      <c r="G21" s="43">
        <f t="shared" si="2"/>
        <v>462888.43199999997</v>
      </c>
      <c r="H21" s="43">
        <v>26370</v>
      </c>
      <c r="I21" s="43">
        <f t="shared" si="6"/>
        <v>27952.2</v>
      </c>
      <c r="J21" s="43">
        <f t="shared" si="3"/>
        <v>458641.54179999995</v>
      </c>
      <c r="K21" s="43">
        <v>32690.06</v>
      </c>
      <c r="L21" s="43">
        <f t="shared" si="7"/>
        <v>37593.568999999996</v>
      </c>
      <c r="M21" s="38">
        <f t="shared" si="4"/>
        <v>396465.51724137936</v>
      </c>
      <c r="N21" s="38">
        <f t="shared" si="5"/>
        <v>413917.19999999995</v>
      </c>
      <c r="O21" s="38">
        <v>1375</v>
      </c>
      <c r="P21" s="38">
        <f>1355+740+595</f>
        <v>2690</v>
      </c>
      <c r="V21"/>
      <c r="W21"/>
      <c r="X21"/>
      <c r="Y21"/>
    </row>
    <row r="22" spans="2:25">
      <c r="B22" s="2">
        <v>2024</v>
      </c>
      <c r="C22" s="2" t="s">
        <v>114</v>
      </c>
      <c r="D22" s="2" t="s">
        <v>180</v>
      </c>
      <c r="E22" s="2" t="s">
        <v>13</v>
      </c>
      <c r="F22" s="43">
        <v>1135000</v>
      </c>
      <c r="G22" s="43">
        <f t="shared" si="2"/>
        <v>907872.19200000004</v>
      </c>
      <c r="H22" s="43">
        <v>51720</v>
      </c>
      <c r="I22" s="43">
        <f t="shared" si="6"/>
        <v>54823.200000000004</v>
      </c>
      <c r="J22" s="43">
        <f t="shared" si="3"/>
        <v>845307.5</v>
      </c>
      <c r="K22" s="43">
        <v>60250</v>
      </c>
      <c r="L22" s="43">
        <f t="shared" si="7"/>
        <v>69287.5</v>
      </c>
      <c r="M22" s="38">
        <f t="shared" si="4"/>
        <v>978448.27586206899</v>
      </c>
      <c r="N22" s="38">
        <f t="shared" si="5"/>
        <v>856483.2</v>
      </c>
      <c r="O22" s="38"/>
      <c r="P22" s="38"/>
      <c r="V22"/>
      <c r="W22"/>
      <c r="X22"/>
      <c r="Y22"/>
    </row>
    <row r="23" spans="2:25">
      <c r="B23" s="2">
        <v>2024</v>
      </c>
      <c r="C23" s="2" t="s">
        <v>114</v>
      </c>
      <c r="D23" s="2" t="s">
        <v>167</v>
      </c>
      <c r="E23" s="2" t="s">
        <v>115</v>
      </c>
      <c r="F23" s="43">
        <v>356900</v>
      </c>
      <c r="G23" s="43">
        <f t="shared" si="2"/>
        <v>337029.12</v>
      </c>
      <c r="H23" s="43">
        <v>19200</v>
      </c>
      <c r="I23" s="43">
        <f t="shared" si="6"/>
        <v>20352</v>
      </c>
      <c r="J23" s="43">
        <f t="shared" si="3"/>
        <v>322998.65999999997</v>
      </c>
      <c r="K23" s="43">
        <v>23022</v>
      </c>
      <c r="L23" s="43">
        <f t="shared" si="7"/>
        <v>26475.3</v>
      </c>
      <c r="M23" s="38">
        <f t="shared" si="4"/>
        <v>307672.41379310348</v>
      </c>
      <c r="N23" s="38">
        <f t="shared" si="5"/>
        <v>299073.59999999998</v>
      </c>
      <c r="O23" s="38">
        <v>1140</v>
      </c>
      <c r="P23" s="38">
        <v>2724</v>
      </c>
      <c r="V23"/>
      <c r="W23"/>
      <c r="X23"/>
      <c r="Y23"/>
    </row>
    <row r="24" spans="2:25">
      <c r="B24" s="2">
        <v>2024</v>
      </c>
      <c r="C24" s="2" t="s">
        <v>114</v>
      </c>
      <c r="D24" s="2" t="s">
        <v>175</v>
      </c>
      <c r="E24" s="2" t="s">
        <v>115</v>
      </c>
      <c r="F24" s="43">
        <v>423900</v>
      </c>
      <c r="G24" s="43">
        <f t="shared" si="2"/>
        <v>386705.80800000002</v>
      </c>
      <c r="H24" s="43">
        <v>22030</v>
      </c>
      <c r="I24" s="43">
        <f t="shared" si="6"/>
        <v>23351.800000000003</v>
      </c>
      <c r="J24" s="43">
        <f t="shared" si="3"/>
        <v>380311.20999999996</v>
      </c>
      <c r="K24" s="43">
        <v>27107</v>
      </c>
      <c r="L24" s="43">
        <f t="shared" si="7"/>
        <v>31173.05</v>
      </c>
      <c r="M24" s="38">
        <f t="shared" si="4"/>
        <v>365431.03448275867</v>
      </c>
      <c r="N24" s="38">
        <f t="shared" si="5"/>
        <v>345938.39999999997</v>
      </c>
      <c r="O24" s="38">
        <v>1140</v>
      </c>
      <c r="P24" s="38">
        <v>2724</v>
      </c>
      <c r="V24"/>
      <c r="W24"/>
      <c r="X24"/>
      <c r="Y24"/>
    </row>
    <row r="25" spans="2:25">
      <c r="B25" s="2">
        <v>2024</v>
      </c>
      <c r="D25" s="2" t="s">
        <v>181</v>
      </c>
      <c r="E25" s="2" t="s">
        <v>112</v>
      </c>
      <c r="F25" s="43">
        <v>1055900</v>
      </c>
      <c r="G25" s="43">
        <f t="shared" si="2"/>
        <v>720926.35200000007</v>
      </c>
      <c r="H25" s="43">
        <v>41070</v>
      </c>
      <c r="I25" s="43">
        <f t="shared" si="6"/>
        <v>43534.200000000004</v>
      </c>
      <c r="J25" s="43">
        <f t="shared" si="3"/>
        <v>772183.1399999999</v>
      </c>
      <c r="K25" s="43">
        <v>55038</v>
      </c>
      <c r="L25" s="43">
        <f t="shared" si="7"/>
        <v>63293.7</v>
      </c>
      <c r="M25" s="38">
        <f t="shared" si="4"/>
        <v>910258.62068965519</v>
      </c>
      <c r="N25" s="38">
        <f t="shared" si="5"/>
        <v>655113.6</v>
      </c>
      <c r="O25" s="38">
        <v>1510</v>
      </c>
      <c r="P25" s="38">
        <v>2905</v>
      </c>
      <c r="V25"/>
      <c r="W25"/>
      <c r="X25"/>
      <c r="Y25"/>
    </row>
    <row r="26" spans="2:25">
      <c r="B26" s="2">
        <v>2024</v>
      </c>
      <c r="D26" s="2" t="s">
        <v>121</v>
      </c>
      <c r="E26" s="2" t="s">
        <v>112</v>
      </c>
      <c r="F26" s="43">
        <v>1524900</v>
      </c>
      <c r="G26" s="43">
        <f t="shared" si="2"/>
        <v>1303881.4080000001</v>
      </c>
      <c r="H26" s="43">
        <v>74280</v>
      </c>
      <c r="I26" s="43">
        <f t="shared" si="6"/>
        <v>78736.800000000003</v>
      </c>
      <c r="J26" s="43">
        <f t="shared" si="3"/>
        <v>1210999.4499999997</v>
      </c>
      <c r="K26" s="43">
        <v>86315</v>
      </c>
      <c r="L26" s="43">
        <f t="shared" si="7"/>
        <v>99262.249999999985</v>
      </c>
      <c r="M26" s="38">
        <f t="shared" si="4"/>
        <v>1314568.9655172415</v>
      </c>
      <c r="N26" s="38">
        <f t="shared" si="5"/>
        <v>1197039.5999999999</v>
      </c>
      <c r="O26" s="38">
        <v>1995</v>
      </c>
      <c r="P26" s="38">
        <v>2795</v>
      </c>
      <c r="V26"/>
      <c r="W26"/>
      <c r="X26"/>
      <c r="Y26"/>
    </row>
    <row r="27" spans="2:25">
      <c r="B27" s="2">
        <v>2024</v>
      </c>
      <c r="D27" s="2" t="s">
        <v>186</v>
      </c>
      <c r="E27" s="2" t="s">
        <v>13</v>
      </c>
      <c r="F27" s="43">
        <v>610900</v>
      </c>
      <c r="G27" s="43">
        <f t="shared" si="2"/>
        <v>553552.77599999995</v>
      </c>
      <c r="H27" s="43">
        <v>31535</v>
      </c>
      <c r="I27" s="43">
        <f t="shared" si="6"/>
        <v>33427.1</v>
      </c>
      <c r="J27" s="43">
        <f t="shared" si="3"/>
        <v>560008.57239999995</v>
      </c>
      <c r="K27" s="43">
        <v>39915.08</v>
      </c>
      <c r="L27" s="43">
        <f t="shared" si="7"/>
        <v>45902.341999999997</v>
      </c>
      <c r="M27" s="38">
        <f t="shared" si="4"/>
        <v>526637.93103448278</v>
      </c>
      <c r="N27" s="38">
        <f t="shared" si="5"/>
        <v>499863.6</v>
      </c>
      <c r="O27" s="38">
        <v>1350</v>
      </c>
      <c r="P27" s="38">
        <f>999+1930+100+12.5+22.5+1.08</f>
        <v>3065.08</v>
      </c>
      <c r="V27"/>
      <c r="W27"/>
      <c r="X27"/>
      <c r="Y27"/>
    </row>
    <row r="28" spans="2:25">
      <c r="B28" s="2">
        <v>2024</v>
      </c>
      <c r="D28" s="2" t="s">
        <v>171</v>
      </c>
      <c r="E28" s="2" t="s">
        <v>115</v>
      </c>
      <c r="F28" s="43">
        <v>449900</v>
      </c>
      <c r="G28" s="43">
        <f t="shared" si="2"/>
        <v>406278.07199999999</v>
      </c>
      <c r="H28" s="43">
        <v>23145</v>
      </c>
      <c r="I28" s="43">
        <f t="shared" si="6"/>
        <v>24533.7</v>
      </c>
      <c r="J28" s="43">
        <f t="shared" si="3"/>
        <v>384212.67239999998</v>
      </c>
      <c r="K28" s="43">
        <v>27385.08</v>
      </c>
      <c r="L28" s="43">
        <f t="shared" si="7"/>
        <v>31492.842000000001</v>
      </c>
      <c r="M28" s="38">
        <f t="shared" si="4"/>
        <v>387844.8275862069</v>
      </c>
      <c r="N28" s="38">
        <f t="shared" si="5"/>
        <v>365148</v>
      </c>
      <c r="O28" s="38">
        <v>1095</v>
      </c>
      <c r="P28" s="38">
        <f>999+1760+100+12.5+22.5+1.08</f>
        <v>2895.08</v>
      </c>
      <c r="V28"/>
      <c r="W28"/>
      <c r="X28"/>
      <c r="Y28"/>
    </row>
    <row r="29" spans="2:25">
      <c r="B29" s="2">
        <v>2024</v>
      </c>
      <c r="C29" s="2" t="s">
        <v>114</v>
      </c>
      <c r="D29" s="2" t="s">
        <v>122</v>
      </c>
      <c r="E29" s="2" t="s">
        <v>112</v>
      </c>
      <c r="F29" s="43">
        <v>839900</v>
      </c>
      <c r="G29" s="43">
        <f t="shared" si="2"/>
        <v>645884.71200000006</v>
      </c>
      <c r="H29" s="43">
        <v>36795</v>
      </c>
      <c r="I29" s="43">
        <f t="shared" si="6"/>
        <v>39002.700000000004</v>
      </c>
      <c r="J29" s="43">
        <f t="shared" si="3"/>
        <v>701711.57239999995</v>
      </c>
      <c r="K29" s="43">
        <v>50015.08</v>
      </c>
      <c r="L29" s="43">
        <f t="shared" si="7"/>
        <v>57517.341999999997</v>
      </c>
      <c r="M29" s="38">
        <f t="shared" si="4"/>
        <v>724051.72413793113</v>
      </c>
      <c r="N29" s="38">
        <f t="shared" si="5"/>
        <v>584568</v>
      </c>
      <c r="O29" s="38">
        <v>1495</v>
      </c>
      <c r="P29" s="38">
        <f>999+1930+100+12.5+22.5+1.08</f>
        <v>3065.08</v>
      </c>
      <c r="V29"/>
      <c r="W29"/>
      <c r="X29"/>
      <c r="Y29"/>
    </row>
    <row r="30" spans="2:25">
      <c r="B30" s="2">
        <v>2024</v>
      </c>
      <c r="D30" s="2" t="s">
        <v>172</v>
      </c>
      <c r="E30" s="2" t="s">
        <v>13</v>
      </c>
      <c r="F30" s="43">
        <v>891600</v>
      </c>
      <c r="G30" s="43">
        <f t="shared" si="2"/>
        <v>687311.20799999998</v>
      </c>
      <c r="H30" s="43">
        <v>39155</v>
      </c>
      <c r="I30" s="43">
        <f t="shared" si="6"/>
        <v>41504.300000000003</v>
      </c>
      <c r="J30" s="43">
        <f t="shared" si="3"/>
        <v>673651.57239999995</v>
      </c>
      <c r="K30" s="43">
        <v>48015.08</v>
      </c>
      <c r="L30" s="43">
        <f t="shared" si="7"/>
        <v>55217.341999999997</v>
      </c>
      <c r="M30" s="38">
        <f t="shared" si="4"/>
        <v>768620.68965517252</v>
      </c>
      <c r="N30" s="38">
        <f t="shared" si="5"/>
        <v>625305.59999999998</v>
      </c>
      <c r="O30" s="38">
        <v>1395</v>
      </c>
      <c r="P30" s="38">
        <f>999+1930+100+12.5+22.5+1.08</f>
        <v>3065.08</v>
      </c>
      <c r="V30"/>
      <c r="W30"/>
      <c r="X30"/>
      <c r="Y30"/>
    </row>
    <row r="31" spans="2:25">
      <c r="B31" s="2">
        <v>2024</v>
      </c>
      <c r="C31" s="2" t="s">
        <v>114</v>
      </c>
      <c r="D31" s="2" t="s">
        <v>132</v>
      </c>
      <c r="E31" s="2" t="s">
        <v>115</v>
      </c>
      <c r="F31" s="43">
        <v>424770</v>
      </c>
      <c r="G31" s="43">
        <f t="shared" si="2"/>
        <v>411807.45600000001</v>
      </c>
      <c r="H31" s="43">
        <v>23460</v>
      </c>
      <c r="I31" s="43">
        <f t="shared" si="6"/>
        <v>24867.600000000002</v>
      </c>
      <c r="J31" s="43">
        <f t="shared" si="3"/>
        <v>386919.33999999997</v>
      </c>
      <c r="K31" s="43">
        <v>27578</v>
      </c>
      <c r="L31" s="43">
        <f t="shared" si="7"/>
        <v>31714.699999999997</v>
      </c>
      <c r="M31" s="38">
        <f t="shared" si="4"/>
        <v>366181.03448275867</v>
      </c>
      <c r="N31" s="38">
        <f t="shared" si="5"/>
        <v>368211.6</v>
      </c>
      <c r="O31" s="38">
        <v>1225</v>
      </c>
      <c r="P31" s="38">
        <f>1950+100+23+500+10</f>
        <v>2583</v>
      </c>
      <c r="V31"/>
      <c r="W31"/>
      <c r="X31"/>
      <c r="Y31"/>
    </row>
    <row r="32" spans="2:25">
      <c r="B32" s="2">
        <v>2024</v>
      </c>
      <c r="C32" s="2" t="s">
        <v>114</v>
      </c>
      <c r="D32" s="2" t="s">
        <v>134</v>
      </c>
      <c r="E32" s="2" t="s">
        <v>13</v>
      </c>
      <c r="F32" s="43">
        <v>814070</v>
      </c>
      <c r="G32" s="43">
        <f t="shared" si="2"/>
        <v>682483.96799999999</v>
      </c>
      <c r="H32" s="43">
        <v>38880</v>
      </c>
      <c r="I32" s="43">
        <f t="shared" si="6"/>
        <v>41212.800000000003</v>
      </c>
      <c r="J32" s="43">
        <f t="shared" si="3"/>
        <v>676638.84</v>
      </c>
      <c r="K32" s="43">
        <v>48228</v>
      </c>
      <c r="L32" s="43">
        <f t="shared" si="7"/>
        <v>55462.2</v>
      </c>
      <c r="M32" s="38">
        <f t="shared" si="4"/>
        <v>701784.48275862075</v>
      </c>
      <c r="N32" s="38">
        <f t="shared" si="5"/>
        <v>620254.79999999993</v>
      </c>
      <c r="O32" s="38">
        <v>1425</v>
      </c>
      <c r="P32" s="38">
        <f>2100+100+23+500+10</f>
        <v>2733</v>
      </c>
      <c r="V32"/>
      <c r="W32"/>
      <c r="X32"/>
      <c r="Y32"/>
    </row>
    <row r="33" spans="2:25">
      <c r="B33" s="2">
        <v>2020</v>
      </c>
      <c r="D33" s="2" t="s">
        <v>185</v>
      </c>
      <c r="E33" s="2" t="s">
        <v>115</v>
      </c>
      <c r="F33" s="43">
        <v>392900</v>
      </c>
      <c r="G33" s="43">
        <f t="shared" si="2"/>
        <v>393990.55199999997</v>
      </c>
      <c r="H33" s="39">
        <v>22445</v>
      </c>
      <c r="I33" s="43">
        <f t="shared" si="6"/>
        <v>23791.7</v>
      </c>
      <c r="J33" s="39"/>
      <c r="K33" s="39"/>
      <c r="L33" s="39"/>
      <c r="Q33" s="42" t="s">
        <v>128</v>
      </c>
      <c r="V33"/>
      <c r="W33"/>
      <c r="X33"/>
      <c r="Y33"/>
    </row>
    <row r="34" spans="2:25">
      <c r="B34" s="2">
        <v>2019</v>
      </c>
      <c r="D34" s="2" t="s">
        <v>133</v>
      </c>
      <c r="E34" s="2" t="s">
        <v>115</v>
      </c>
      <c r="F34" s="43">
        <v>333270</v>
      </c>
      <c r="G34" s="38">
        <f t="shared" si="2"/>
        <v>344752.70399999997</v>
      </c>
      <c r="H34" s="39">
        <v>19640</v>
      </c>
      <c r="I34" s="43">
        <f t="shared" si="6"/>
        <v>20818.400000000001</v>
      </c>
      <c r="Q34" s="55" t="s">
        <v>123</v>
      </c>
      <c r="V34"/>
      <c r="W34"/>
      <c r="X34"/>
      <c r="Y34"/>
    </row>
    <row r="35" spans="2:25">
      <c r="B35" s="2">
        <v>2020</v>
      </c>
      <c r="D35" s="2" t="s">
        <v>206</v>
      </c>
      <c r="E35" s="2" t="s">
        <v>13</v>
      </c>
      <c r="F35" s="38">
        <v>538990</v>
      </c>
      <c r="G35" s="38">
        <f t="shared" si="2"/>
        <v>700651.94400000002</v>
      </c>
      <c r="H35" s="39">
        <v>39915</v>
      </c>
      <c r="I35" s="43">
        <f t="shared" si="6"/>
        <v>42309.9</v>
      </c>
      <c r="J35" s="39"/>
      <c r="K35" s="39"/>
      <c r="L35" s="39"/>
      <c r="Q35" s="42" t="s">
        <v>124</v>
      </c>
      <c r="R35" s="41" t="s">
        <v>211</v>
      </c>
      <c r="V35"/>
      <c r="W35"/>
      <c r="X35"/>
      <c r="Y35"/>
    </row>
    <row r="36" spans="2:25">
      <c r="B36" s="2">
        <v>2019</v>
      </c>
      <c r="D36" s="2" t="s">
        <v>138</v>
      </c>
      <c r="E36" s="2" t="s">
        <v>115</v>
      </c>
      <c r="F36" s="38">
        <v>303900</v>
      </c>
      <c r="G36" s="38">
        <f t="shared" si="2"/>
        <v>358620.04799999995</v>
      </c>
      <c r="H36" s="39">
        <v>20430</v>
      </c>
      <c r="I36" s="43">
        <f t="shared" si="6"/>
        <v>21655.8</v>
      </c>
      <c r="Q36" s="42" t="s">
        <v>126</v>
      </c>
      <c r="V36"/>
      <c r="W36"/>
      <c r="X36"/>
      <c r="Y36"/>
    </row>
    <row r="37" spans="2:25">
      <c r="B37" s="2">
        <v>2019</v>
      </c>
      <c r="D37" s="2" t="s">
        <v>139</v>
      </c>
      <c r="E37" s="2" t="s">
        <v>13</v>
      </c>
      <c r="F37" s="38">
        <v>392900</v>
      </c>
      <c r="G37" s="38">
        <f t="shared" si="2"/>
        <v>471226.39199999999</v>
      </c>
      <c r="H37" s="39">
        <v>26845</v>
      </c>
      <c r="I37" s="43">
        <f t="shared" si="6"/>
        <v>28455.7</v>
      </c>
      <c r="Q37" s="42" t="s">
        <v>125</v>
      </c>
    </row>
    <row r="38" spans="2:25">
      <c r="B38" s="2">
        <v>2019</v>
      </c>
      <c r="D38" s="2" t="s">
        <v>140</v>
      </c>
      <c r="E38" s="2" t="s">
        <v>115</v>
      </c>
      <c r="F38" s="38">
        <v>332900</v>
      </c>
      <c r="G38" s="38">
        <f t="shared" si="2"/>
        <v>386003.66399999999</v>
      </c>
      <c r="H38" s="39">
        <v>21990</v>
      </c>
      <c r="I38" s="43">
        <f t="shared" si="6"/>
        <v>23309.4</v>
      </c>
      <c r="Q38" s="42" t="s">
        <v>127</v>
      </c>
    </row>
    <row r="39" spans="2:25">
      <c r="B39" s="2">
        <v>2019</v>
      </c>
      <c r="D39" s="2" t="s">
        <v>143</v>
      </c>
      <c r="E39" s="2" t="s">
        <v>115</v>
      </c>
      <c r="F39" s="38">
        <v>444900</v>
      </c>
      <c r="G39" s="38">
        <f t="shared" si="2"/>
        <v>570492</v>
      </c>
      <c r="H39" s="39">
        <v>32500</v>
      </c>
      <c r="I39" s="43">
        <f t="shared" si="6"/>
        <v>34450</v>
      </c>
      <c r="Q39"/>
    </row>
    <row r="40" spans="2:25">
      <c r="B40" s="2" t="s">
        <v>207</v>
      </c>
      <c r="D40" s="2" t="s">
        <v>144</v>
      </c>
      <c r="E40" s="2" t="s">
        <v>13</v>
      </c>
      <c r="F40" s="38">
        <v>589900</v>
      </c>
      <c r="G40" s="38">
        <f t="shared" si="2"/>
        <v>630964.152</v>
      </c>
      <c r="H40" s="39">
        <v>35945</v>
      </c>
      <c r="I40" s="43">
        <f t="shared" si="6"/>
        <v>38101.700000000004</v>
      </c>
      <c r="P40"/>
      <c r="Q40" s="42" t="s">
        <v>212</v>
      </c>
    </row>
    <row r="41" spans="2:25">
      <c r="B41" s="2" t="s">
        <v>207</v>
      </c>
      <c r="D41" s="2" t="s">
        <v>161</v>
      </c>
      <c r="E41" s="2" t="s">
        <v>112</v>
      </c>
      <c r="F41" s="38">
        <v>845800</v>
      </c>
      <c r="G41" s="38">
        <f>I41*$A$5</f>
        <v>781135.2</v>
      </c>
      <c r="H41" s="39">
        <v>44500</v>
      </c>
      <c r="I41" s="43">
        <f t="shared" si="6"/>
        <v>47170</v>
      </c>
      <c r="P41"/>
      <c r="Q41"/>
    </row>
    <row r="42" spans="2:25">
      <c r="B42" s="2" t="s">
        <v>207</v>
      </c>
      <c r="D42" s="2" t="s">
        <v>147</v>
      </c>
      <c r="E42" s="2" t="s">
        <v>13</v>
      </c>
      <c r="F42" s="38">
        <v>313000</v>
      </c>
      <c r="G42" s="38">
        <f t="shared" si="2"/>
        <v>391357.51199999999</v>
      </c>
      <c r="H42" s="39">
        <v>22295</v>
      </c>
      <c r="I42" s="43">
        <f t="shared" si="6"/>
        <v>23632.7</v>
      </c>
      <c r="P42"/>
      <c r="Q42"/>
    </row>
    <row r="43" spans="2:25">
      <c r="B43" s="2" t="s">
        <v>207</v>
      </c>
      <c r="D43" s="2" t="s">
        <v>148</v>
      </c>
      <c r="E43" s="2" t="s">
        <v>13</v>
      </c>
      <c r="F43" s="38">
        <v>1123700</v>
      </c>
      <c r="G43" s="38">
        <f t="shared" si="2"/>
        <v>953072.71199999994</v>
      </c>
      <c r="H43" s="39">
        <v>54295</v>
      </c>
      <c r="I43" s="43">
        <f t="shared" si="6"/>
        <v>57552.700000000004</v>
      </c>
      <c r="P43"/>
      <c r="Q43"/>
    </row>
    <row r="44" spans="2:25">
      <c r="B44" s="2" t="s">
        <v>207</v>
      </c>
      <c r="D44" s="2" t="s">
        <v>150</v>
      </c>
      <c r="E44" s="2" t="s">
        <v>115</v>
      </c>
      <c r="F44" s="38">
        <v>662800</v>
      </c>
      <c r="G44" s="38">
        <f t="shared" si="2"/>
        <v>482548.46399999998</v>
      </c>
      <c r="H44" s="39">
        <v>27490</v>
      </c>
      <c r="I44" s="43">
        <f t="shared" si="6"/>
        <v>29139.4</v>
      </c>
      <c r="P44"/>
      <c r="Q44"/>
    </row>
    <row r="45" spans="2:25">
      <c r="B45" s="2" t="s">
        <v>207</v>
      </c>
      <c r="D45" s="2" t="s">
        <v>152</v>
      </c>
      <c r="E45" s="2" t="s">
        <v>112</v>
      </c>
      <c r="F45" s="38">
        <v>972700</v>
      </c>
      <c r="G45" s="38">
        <f t="shared" si="2"/>
        <v>992041.70399999991</v>
      </c>
      <c r="H45" s="39">
        <v>56515</v>
      </c>
      <c r="I45" s="43">
        <f t="shared" si="6"/>
        <v>59905.9</v>
      </c>
      <c r="P45"/>
      <c r="Q45"/>
    </row>
    <row r="46" spans="2:25">
      <c r="B46" s="2" t="s">
        <v>207</v>
      </c>
      <c r="D46" s="2" t="s">
        <v>151</v>
      </c>
      <c r="E46" s="2" t="s">
        <v>13</v>
      </c>
      <c r="F46" s="38">
        <v>1357400</v>
      </c>
      <c r="G46" s="38">
        <f t="shared" si="2"/>
        <v>1193557.0319999999</v>
      </c>
      <c r="H46" s="39">
        <v>67995</v>
      </c>
      <c r="I46" s="43">
        <f>H46*1.06</f>
        <v>72074.7</v>
      </c>
      <c r="P46"/>
      <c r="Q46"/>
    </row>
    <row r="47" spans="2:25">
      <c r="B47" s="2" t="s">
        <v>207</v>
      </c>
      <c r="D47" s="2" t="s">
        <v>153</v>
      </c>
      <c r="E47" s="2" t="s">
        <v>112</v>
      </c>
      <c r="F47" s="38">
        <v>1226100</v>
      </c>
      <c r="G47" s="38">
        <f t="shared" si="2"/>
        <v>1018108.7999999999</v>
      </c>
      <c r="H47" s="39">
        <v>58000</v>
      </c>
      <c r="I47" s="43">
        <f>H47*1.06</f>
        <v>61480</v>
      </c>
      <c r="P47"/>
      <c r="Q47"/>
    </row>
    <row r="48" spans="2:25">
      <c r="B48" s="2" t="s">
        <v>207</v>
      </c>
      <c r="D48" s="2" t="s">
        <v>157</v>
      </c>
      <c r="E48" s="2" t="s">
        <v>13</v>
      </c>
      <c r="F48" s="38">
        <v>429900</v>
      </c>
      <c r="G48" s="38">
        <f t="shared" si="2"/>
        <v>448845.55199999997</v>
      </c>
      <c r="H48" s="39">
        <v>25570</v>
      </c>
      <c r="I48" s="43">
        <f t="shared" si="6"/>
        <v>27104.2</v>
      </c>
      <c r="P48"/>
      <c r="Q48" s="42" t="s">
        <v>154</v>
      </c>
    </row>
    <row r="49" spans="2:17">
      <c r="B49" s="2" t="s">
        <v>207</v>
      </c>
      <c r="D49" s="2" t="s">
        <v>160</v>
      </c>
      <c r="E49" s="2" t="s">
        <v>115</v>
      </c>
      <c r="F49" s="38">
        <v>334900</v>
      </c>
      <c r="G49" s="38">
        <f t="shared" si="2"/>
        <v>425762.56800000003</v>
      </c>
      <c r="H49" s="39">
        <v>24255</v>
      </c>
      <c r="I49" s="43">
        <f t="shared" si="6"/>
        <v>25710.300000000003</v>
      </c>
      <c r="P49"/>
      <c r="Q49" s="42" t="s">
        <v>158</v>
      </c>
    </row>
    <row r="50" spans="2:17">
      <c r="B50" s="2" t="s">
        <v>207</v>
      </c>
      <c r="D50" s="2" t="s">
        <v>162</v>
      </c>
      <c r="E50" s="2" t="s">
        <v>13</v>
      </c>
      <c r="F50" s="38">
        <v>372400</v>
      </c>
      <c r="G50" s="38">
        <f t="shared" si="2"/>
        <v>416897.99999999994</v>
      </c>
      <c r="H50" s="39">
        <v>23750</v>
      </c>
      <c r="I50" s="43">
        <f t="shared" si="6"/>
        <v>25175</v>
      </c>
      <c r="P50"/>
      <c r="Q50"/>
    </row>
    <row r="51" spans="2:17">
      <c r="B51" s="2" t="s">
        <v>207</v>
      </c>
      <c r="D51" s="2" t="s">
        <v>166</v>
      </c>
      <c r="E51" s="2" t="s">
        <v>13</v>
      </c>
      <c r="F51" s="38">
        <v>355000</v>
      </c>
      <c r="G51" s="38">
        <f t="shared" si="2"/>
        <v>595944.72</v>
      </c>
      <c r="H51" s="39">
        <v>33950</v>
      </c>
      <c r="I51" s="43">
        <f t="shared" si="6"/>
        <v>35987</v>
      </c>
      <c r="P51"/>
      <c r="Q51" s="42" t="s">
        <v>164</v>
      </c>
    </row>
    <row r="52" spans="2:17">
      <c r="B52" s="2" t="s">
        <v>208</v>
      </c>
      <c r="D52" s="2" t="s">
        <v>193</v>
      </c>
      <c r="E52" s="2" t="s">
        <v>13</v>
      </c>
      <c r="F52" s="38">
        <v>454900</v>
      </c>
      <c r="G52" s="38">
        <f t="shared" si="2"/>
        <v>438839.99999999994</v>
      </c>
      <c r="H52" s="39">
        <v>25000</v>
      </c>
      <c r="I52" s="43">
        <f t="shared" si="6"/>
        <v>26500</v>
      </c>
      <c r="P52"/>
      <c r="Q52"/>
    </row>
    <row r="53" spans="2:17">
      <c r="B53" s="2" t="s">
        <v>208</v>
      </c>
      <c r="D53" s="2" t="s">
        <v>191</v>
      </c>
      <c r="E53" s="2" t="s">
        <v>13</v>
      </c>
      <c r="F53" s="38">
        <v>859900</v>
      </c>
      <c r="G53" s="38">
        <f t="shared" si="2"/>
        <v>695034.79200000002</v>
      </c>
      <c r="H53" s="39">
        <v>39595</v>
      </c>
      <c r="I53" s="43">
        <f t="shared" si="6"/>
        <v>41970.700000000004</v>
      </c>
      <c r="P53"/>
      <c r="Q53"/>
    </row>
    <row r="54" spans="2:17">
      <c r="B54" s="2" t="s">
        <v>207</v>
      </c>
      <c r="D54" s="2" t="s">
        <v>168</v>
      </c>
      <c r="E54" s="2" t="s">
        <v>112</v>
      </c>
      <c r="F54" s="38">
        <v>1099900</v>
      </c>
      <c r="G54" s="38">
        <f t="shared" si="2"/>
        <v>1000379.664</v>
      </c>
      <c r="H54" s="39">
        <v>56990</v>
      </c>
      <c r="I54" s="43">
        <f t="shared" si="6"/>
        <v>60409.4</v>
      </c>
      <c r="P54"/>
      <c r="Q54" s="42" t="s">
        <v>169</v>
      </c>
    </row>
    <row r="55" spans="2:17">
      <c r="B55" s="2" t="s">
        <v>207</v>
      </c>
      <c r="D55" s="2" t="s">
        <v>173</v>
      </c>
      <c r="E55" s="2" t="s">
        <v>115</v>
      </c>
      <c r="F55" s="38">
        <v>329900</v>
      </c>
      <c r="G55" s="38">
        <f t="shared" si="2"/>
        <v>352651.82400000002</v>
      </c>
      <c r="H55" s="39">
        <v>20090</v>
      </c>
      <c r="I55" s="43">
        <f t="shared" si="6"/>
        <v>21295.4</v>
      </c>
      <c r="P55"/>
      <c r="Q55"/>
    </row>
    <row r="56" spans="2:17">
      <c r="B56" s="2" t="s">
        <v>207</v>
      </c>
      <c r="D56" s="2" t="s">
        <v>174</v>
      </c>
      <c r="E56" s="2" t="s">
        <v>112</v>
      </c>
      <c r="F56" s="38">
        <v>662800</v>
      </c>
      <c r="G56" s="38">
        <f t="shared" si="2"/>
        <v>473420.592</v>
      </c>
      <c r="H56" s="39">
        <v>26970</v>
      </c>
      <c r="I56" s="43">
        <f t="shared" si="6"/>
        <v>28588.2</v>
      </c>
      <c r="P56"/>
      <c r="Q56"/>
    </row>
    <row r="57" spans="2:17">
      <c r="B57" s="2" t="s">
        <v>207</v>
      </c>
      <c r="D57" s="2" t="s">
        <v>198</v>
      </c>
      <c r="E57" s="2" t="s">
        <v>13</v>
      </c>
      <c r="F57" s="38">
        <v>558100</v>
      </c>
      <c r="G57" s="38">
        <f t="shared" si="2"/>
        <v>618852.16799999995</v>
      </c>
      <c r="H57" s="39">
        <v>35255</v>
      </c>
      <c r="I57" s="43">
        <f t="shared" si="6"/>
        <v>37370.300000000003</v>
      </c>
      <c r="P57"/>
      <c r="Q57"/>
    </row>
    <row r="58" spans="2:17">
      <c r="B58" s="2" t="s">
        <v>207</v>
      </c>
      <c r="D58" s="2" t="s">
        <v>176</v>
      </c>
      <c r="E58" s="2" t="s">
        <v>115</v>
      </c>
      <c r="F58" s="38">
        <v>216800</v>
      </c>
      <c r="G58" s="38">
        <f t="shared" si="2"/>
        <v>234954.93599999999</v>
      </c>
      <c r="H58" s="39">
        <v>13385</v>
      </c>
      <c r="I58" s="43">
        <f t="shared" si="6"/>
        <v>14188.1</v>
      </c>
      <c r="P58"/>
      <c r="Q58"/>
    </row>
    <row r="59" spans="2:17">
      <c r="B59" s="2" t="s">
        <v>207</v>
      </c>
      <c r="D59" s="2" t="s">
        <v>177</v>
      </c>
      <c r="E59" s="2" t="s">
        <v>115</v>
      </c>
      <c r="F59" s="38">
        <v>262800</v>
      </c>
      <c r="G59" s="38">
        <f t="shared" si="2"/>
        <v>332026.34399999998</v>
      </c>
      <c r="H59" s="39">
        <v>18915</v>
      </c>
      <c r="I59" s="43">
        <f t="shared" si="6"/>
        <v>20049.900000000001</v>
      </c>
      <c r="P59"/>
      <c r="Q59"/>
    </row>
    <row r="60" spans="2:17">
      <c r="B60" s="2" t="s">
        <v>207</v>
      </c>
      <c r="D60" s="2" t="s">
        <v>178</v>
      </c>
      <c r="E60" s="2" t="s">
        <v>112</v>
      </c>
      <c r="F60" s="38">
        <v>551900</v>
      </c>
      <c r="G60" s="38">
        <f t="shared" si="2"/>
        <v>605160.36</v>
      </c>
      <c r="H60" s="39">
        <v>34475</v>
      </c>
      <c r="I60" s="43">
        <f t="shared" si="6"/>
        <v>36543.5</v>
      </c>
      <c r="P60"/>
      <c r="Q60"/>
    </row>
    <row r="61" spans="2:17">
      <c r="B61" s="2" t="s">
        <v>207</v>
      </c>
      <c r="D61" s="2" t="s">
        <v>194</v>
      </c>
      <c r="E61" s="2" t="s">
        <v>13</v>
      </c>
      <c r="F61" s="38">
        <v>459100</v>
      </c>
      <c r="G61" s="38">
        <f t="shared" si="2"/>
        <v>481846.31999999995</v>
      </c>
      <c r="H61" s="39">
        <v>27450</v>
      </c>
      <c r="I61" s="43">
        <f t="shared" si="6"/>
        <v>29097</v>
      </c>
      <c r="P61"/>
      <c r="Q61" s="42" t="s">
        <v>170</v>
      </c>
    </row>
    <row r="62" spans="2:17">
      <c r="B62" s="2" t="s">
        <v>209</v>
      </c>
      <c r="D62" s="2" t="s">
        <v>195</v>
      </c>
      <c r="E62" s="2" t="s">
        <v>13</v>
      </c>
      <c r="F62" s="38">
        <v>618000</v>
      </c>
      <c r="G62" s="38">
        <f t="shared" si="2"/>
        <v>530382.02399999998</v>
      </c>
      <c r="H62" s="39">
        <v>30215</v>
      </c>
      <c r="I62" s="43">
        <f t="shared" si="6"/>
        <v>32027.9</v>
      </c>
      <c r="P62"/>
      <c r="Q62"/>
    </row>
    <row r="63" spans="2:17">
      <c r="B63" s="2" t="s">
        <v>210</v>
      </c>
      <c r="D63" s="2" t="s">
        <v>196</v>
      </c>
      <c r="E63" s="2" t="s">
        <v>112</v>
      </c>
      <c r="F63" s="38">
        <v>750000</v>
      </c>
      <c r="G63" s="38">
        <f t="shared" si="2"/>
        <v>497381.25599999999</v>
      </c>
      <c r="H63" s="39">
        <v>28335</v>
      </c>
      <c r="I63" s="43">
        <f t="shared" si="6"/>
        <v>30035.100000000002</v>
      </c>
      <c r="P63"/>
      <c r="Q63"/>
    </row>
    <row r="64" spans="2:17">
      <c r="B64"/>
      <c r="H64" s="39"/>
      <c r="I64" s="43"/>
      <c r="P64"/>
      <c r="Q64"/>
    </row>
    <row r="65" spans="2:17">
      <c r="B65"/>
      <c r="H65" s="39"/>
      <c r="I65" s="43"/>
      <c r="P65"/>
      <c r="Q65"/>
    </row>
    <row r="66" spans="2:17">
      <c r="B66"/>
      <c r="H66" s="39"/>
      <c r="I66" s="43"/>
      <c r="P66"/>
      <c r="Q66"/>
    </row>
    <row r="67" spans="2:17">
      <c r="B67"/>
      <c r="H67" s="39"/>
      <c r="I67" s="43"/>
      <c r="P67"/>
      <c r="Q67"/>
    </row>
    <row r="68" spans="2:17">
      <c r="B68" s="56" t="s">
        <v>113</v>
      </c>
      <c r="C68" s="2" t="s">
        <v>60</v>
      </c>
      <c r="D68" s="38"/>
      <c r="E68" s="38"/>
      <c r="H68" s="39"/>
      <c r="I68" s="43"/>
      <c r="P68"/>
      <c r="Q68"/>
    </row>
    <row r="69" spans="2:17">
      <c r="B69" s="56" t="s">
        <v>105</v>
      </c>
      <c r="C69" s="2" t="s">
        <v>60</v>
      </c>
      <c r="D69" s="38"/>
      <c r="E69" s="38"/>
      <c r="P69"/>
      <c r="Q69"/>
    </row>
    <row r="70" spans="2:17">
      <c r="P70"/>
      <c r="Q70"/>
    </row>
    <row r="71" spans="2:17">
      <c r="B71" s="56" t="s">
        <v>182</v>
      </c>
      <c r="C71" s="2" t="s">
        <v>129</v>
      </c>
      <c r="D71" s="2" t="s">
        <v>130</v>
      </c>
      <c r="E71" s="2" t="s">
        <v>131</v>
      </c>
      <c r="P71"/>
      <c r="Q71"/>
    </row>
    <row r="72" spans="2:17">
      <c r="B72" s="2" t="s">
        <v>167</v>
      </c>
      <c r="C72" s="57">
        <v>356900</v>
      </c>
      <c r="D72" s="57">
        <v>337029.12</v>
      </c>
      <c r="E72" s="57">
        <v>322998.65999999997</v>
      </c>
      <c r="P72"/>
      <c r="Q72"/>
    </row>
    <row r="73" spans="2:17">
      <c r="B73" s="2" t="s">
        <v>120</v>
      </c>
      <c r="C73" s="57">
        <v>402900</v>
      </c>
      <c r="D73" s="57">
        <v>444720.45600000001</v>
      </c>
      <c r="E73" s="57">
        <v>377736.70499999996</v>
      </c>
      <c r="P73"/>
      <c r="Q73"/>
    </row>
    <row r="74" spans="2:17">
      <c r="B74" s="2" t="s">
        <v>163</v>
      </c>
      <c r="C74" s="57">
        <v>416900</v>
      </c>
      <c r="D74" s="57">
        <v>378543.38400000002</v>
      </c>
      <c r="E74" s="57">
        <v>356277.81999999995</v>
      </c>
      <c r="P74"/>
      <c r="Q74"/>
    </row>
    <row r="75" spans="2:17">
      <c r="B75" s="2" t="s">
        <v>175</v>
      </c>
      <c r="C75" s="57">
        <v>423900</v>
      </c>
      <c r="D75" s="57">
        <v>386705.80800000002</v>
      </c>
      <c r="E75" s="57">
        <v>380311.20999999996</v>
      </c>
      <c r="P75"/>
      <c r="Q75"/>
    </row>
    <row r="76" spans="2:17">
      <c r="B76" s="2" t="s">
        <v>132</v>
      </c>
      <c r="C76" s="57">
        <v>424770</v>
      </c>
      <c r="D76" s="57">
        <v>411807.45600000001</v>
      </c>
      <c r="E76" s="57">
        <v>386919.33999999997</v>
      </c>
      <c r="P76"/>
      <c r="Q76"/>
    </row>
    <row r="77" spans="2:17">
      <c r="B77" s="2" t="s">
        <v>137</v>
      </c>
      <c r="C77" s="57">
        <v>442900</v>
      </c>
      <c r="D77" s="57">
        <v>379947.67199999996</v>
      </c>
      <c r="E77" s="57">
        <v>355576.31999999995</v>
      </c>
      <c r="P77"/>
      <c r="Q77"/>
    </row>
    <row r="78" spans="2:17">
      <c r="B78" s="2" t="s">
        <v>171</v>
      </c>
      <c r="C78" s="57">
        <v>449900</v>
      </c>
      <c r="D78" s="57">
        <v>406278.07199999999</v>
      </c>
      <c r="E78" s="57">
        <v>384212.67239999998</v>
      </c>
      <c r="P78"/>
    </row>
    <row r="79" spans="2:17">
      <c r="B79" s="2" t="s">
        <v>165</v>
      </c>
      <c r="C79" s="57">
        <v>459900</v>
      </c>
      <c r="D79" s="57">
        <v>462888.43199999997</v>
      </c>
      <c r="E79" s="57">
        <v>458641.54179999995</v>
      </c>
      <c r="P79"/>
    </row>
    <row r="80" spans="2:17">
      <c r="B80" s="2" t="s">
        <v>135</v>
      </c>
      <c r="C80" s="57">
        <v>502500</v>
      </c>
      <c r="D80" s="57">
        <v>399783.24</v>
      </c>
      <c r="E80" s="57">
        <v>372578.57549999992</v>
      </c>
      <c r="P80"/>
    </row>
    <row r="81" spans="2:16">
      <c r="B81" s="2" t="s">
        <v>145</v>
      </c>
      <c r="C81" s="57">
        <v>507000</v>
      </c>
      <c r="D81" s="57">
        <v>401714.136</v>
      </c>
      <c r="E81" s="57">
        <v>363699.68999999994</v>
      </c>
      <c r="P81"/>
    </row>
    <row r="82" spans="2:16">
      <c r="B82" s="2" t="s">
        <v>156</v>
      </c>
      <c r="C82" s="57">
        <v>550900</v>
      </c>
      <c r="D82" s="57">
        <v>439629.91199999995</v>
      </c>
      <c r="E82" s="57">
        <v>403411.60499999992</v>
      </c>
      <c r="P82"/>
    </row>
    <row r="83" spans="2:16">
      <c r="B83" s="2" t="s">
        <v>136</v>
      </c>
      <c r="C83" s="57">
        <v>563100</v>
      </c>
      <c r="D83" s="57">
        <v>506860.19999999995</v>
      </c>
      <c r="E83" s="57">
        <v>520950.73599999986</v>
      </c>
      <c r="P83"/>
    </row>
    <row r="84" spans="2:16">
      <c r="B84" s="2" t="s">
        <v>186</v>
      </c>
      <c r="C84" s="57">
        <v>610900</v>
      </c>
      <c r="D84" s="57">
        <v>553552.77599999995</v>
      </c>
      <c r="E84" s="57">
        <v>560008.57239999995</v>
      </c>
      <c r="P84"/>
    </row>
    <row r="85" spans="2:16">
      <c r="B85" s="2" t="s">
        <v>159</v>
      </c>
      <c r="C85" s="57">
        <v>692900</v>
      </c>
      <c r="D85" s="57">
        <v>501418.58399999997</v>
      </c>
      <c r="E85" s="57">
        <v>466413.31999999995</v>
      </c>
      <c r="P85"/>
    </row>
    <row r="86" spans="2:16">
      <c r="B86" s="2" t="s">
        <v>141</v>
      </c>
      <c r="C86" s="57">
        <v>699900</v>
      </c>
      <c r="D86" s="57">
        <v>647640.07200000004</v>
      </c>
      <c r="E86" s="57">
        <v>621739.44999999984</v>
      </c>
      <c r="P86"/>
    </row>
    <row r="87" spans="2:16">
      <c r="B87" s="2" t="s">
        <v>155</v>
      </c>
      <c r="C87" s="57">
        <v>739900</v>
      </c>
      <c r="D87" s="57">
        <v>573125.03999999992</v>
      </c>
      <c r="E87" s="57">
        <v>564344.12299999991</v>
      </c>
      <c r="P87"/>
    </row>
    <row r="88" spans="2:16">
      <c r="B88" s="2" t="s">
        <v>179</v>
      </c>
      <c r="C88" s="57">
        <v>743000</v>
      </c>
      <c r="D88" s="57">
        <v>587518.99199999997</v>
      </c>
      <c r="E88" s="57">
        <v>577895.69999999984</v>
      </c>
      <c r="P88"/>
    </row>
    <row r="89" spans="2:16">
      <c r="B89" s="2" t="s">
        <v>197</v>
      </c>
      <c r="C89" s="57">
        <v>802000</v>
      </c>
      <c r="D89" s="57">
        <v>668616.62399999995</v>
      </c>
      <c r="E89" s="57">
        <v>656814.44999999984</v>
      </c>
      <c r="P89"/>
    </row>
    <row r="90" spans="2:16">
      <c r="B90" s="2" t="s">
        <v>134</v>
      </c>
      <c r="C90" s="57">
        <v>814070</v>
      </c>
      <c r="D90" s="57">
        <v>682483.96799999999</v>
      </c>
      <c r="E90" s="57">
        <v>676638.84</v>
      </c>
      <c r="P90"/>
    </row>
    <row r="91" spans="2:16">
      <c r="B91" s="2" t="s">
        <v>122</v>
      </c>
      <c r="C91" s="57">
        <v>839900</v>
      </c>
      <c r="D91" s="57">
        <v>645884.71200000006</v>
      </c>
      <c r="E91" s="57">
        <v>701711.57239999995</v>
      </c>
      <c r="P91"/>
    </row>
    <row r="92" spans="2:16">
      <c r="B92" s="2" t="s">
        <v>172</v>
      </c>
      <c r="C92" s="57">
        <v>891600</v>
      </c>
      <c r="D92" s="57">
        <v>687311.20799999998</v>
      </c>
      <c r="E92" s="57">
        <v>673651.57239999995</v>
      </c>
      <c r="P92"/>
    </row>
    <row r="93" spans="2:16">
      <c r="B93" s="2" t="s">
        <v>149</v>
      </c>
      <c r="C93" s="57">
        <v>1008000</v>
      </c>
      <c r="D93" s="57">
        <v>701792.92799999996</v>
      </c>
      <c r="E93" s="57">
        <v>662566.74999999988</v>
      </c>
      <c r="P93"/>
    </row>
    <row r="94" spans="2:16">
      <c r="B94" s="2" t="s">
        <v>181</v>
      </c>
      <c r="C94" s="57">
        <v>1055900</v>
      </c>
      <c r="D94" s="57">
        <v>720926.35200000007</v>
      </c>
      <c r="E94" s="57">
        <v>772183.1399999999</v>
      </c>
      <c r="P94"/>
    </row>
    <row r="95" spans="2:16">
      <c r="B95" s="2" t="s">
        <v>117</v>
      </c>
      <c r="C95" s="57">
        <v>1106400</v>
      </c>
      <c r="D95" s="57">
        <v>983089.36800000002</v>
      </c>
      <c r="E95" s="57">
        <v>878207.85</v>
      </c>
      <c r="P95"/>
    </row>
    <row r="96" spans="2:16">
      <c r="B96" s="2" t="s">
        <v>180</v>
      </c>
      <c r="C96" s="57">
        <v>1135000</v>
      </c>
      <c r="D96" s="57">
        <v>907872.19200000004</v>
      </c>
      <c r="E96" s="57">
        <v>845307.5</v>
      </c>
      <c r="P96"/>
    </row>
    <row r="97" spans="2:16">
      <c r="B97" s="2" t="s">
        <v>142</v>
      </c>
      <c r="C97" s="57">
        <v>1170000</v>
      </c>
      <c r="D97" s="57">
        <v>728386.63199999998</v>
      </c>
      <c r="E97" s="57">
        <v>710409.04999999981</v>
      </c>
      <c r="P97"/>
    </row>
    <row r="98" spans="2:16">
      <c r="B98" s="2" t="s">
        <v>121</v>
      </c>
      <c r="C98" s="57">
        <v>1524900</v>
      </c>
      <c r="D98" s="57">
        <v>1303881.4080000001</v>
      </c>
      <c r="E98" s="57">
        <v>1210999.4499999997</v>
      </c>
      <c r="P98"/>
    </row>
    <row r="99" spans="2:16">
      <c r="B99" s="2" t="s">
        <v>190</v>
      </c>
      <c r="C99" s="57">
        <v>1534900</v>
      </c>
      <c r="D99" s="57">
        <v>1465901.1359999999</v>
      </c>
      <c r="E99" s="57">
        <v>1486927.4599999997</v>
      </c>
      <c r="P99"/>
    </row>
    <row r="100" spans="2:16">
      <c r="B100" s="2" t="s">
        <v>146</v>
      </c>
      <c r="C100" s="57">
        <v>1702600</v>
      </c>
      <c r="D100" s="57">
        <v>1184780.2319999998</v>
      </c>
      <c r="E100" s="57">
        <v>1233938.4999999998</v>
      </c>
      <c r="P100"/>
    </row>
    <row r="101" spans="2:16">
      <c r="B101" s="2" t="s">
        <v>118</v>
      </c>
      <c r="C101" s="57">
        <v>1739900</v>
      </c>
      <c r="D101" s="57">
        <v>1398056.4719999998</v>
      </c>
      <c r="E101" s="57">
        <v>1381113.1999999997</v>
      </c>
      <c r="P101"/>
    </row>
    <row r="102" spans="2:16">
      <c r="B102" s="2" t="s">
        <v>119</v>
      </c>
      <c r="C102" s="57">
        <v>2173900</v>
      </c>
      <c r="D102" s="57">
        <v>1577542.0320000001</v>
      </c>
      <c r="E102" s="57">
        <v>1665894.1399999997</v>
      </c>
      <c r="P102"/>
    </row>
    <row r="103" spans="2:16">
      <c r="B103" s="2" t="s">
        <v>51</v>
      </c>
      <c r="C103" s="57">
        <v>26487240</v>
      </c>
      <c r="D103" s="57">
        <v>21475688.616000004</v>
      </c>
      <c r="E103" s="57">
        <v>21030079.515900001</v>
      </c>
      <c r="P103"/>
    </row>
    <row r="104" spans="2:16">
      <c r="B104"/>
      <c r="P104"/>
    </row>
    <row r="105" spans="2:16">
      <c r="P105"/>
    </row>
    <row r="106" spans="2:16">
      <c r="P106"/>
    </row>
    <row r="107" spans="2:16">
      <c r="P107"/>
    </row>
    <row r="108" spans="2:16">
      <c r="P108"/>
    </row>
    <row r="109" spans="2:16">
      <c r="P109"/>
    </row>
    <row r="110" spans="2:16">
      <c r="P110"/>
    </row>
    <row r="111" spans="2:16">
      <c r="P111"/>
    </row>
    <row r="112" spans="2:16">
      <c r="P112"/>
    </row>
    <row r="113" spans="16:16">
      <c r="P113"/>
    </row>
    <row r="114" spans="16:16">
      <c r="P114"/>
    </row>
    <row r="115" spans="16:16">
      <c r="P115"/>
    </row>
    <row r="116" spans="16:16">
      <c r="P116"/>
    </row>
    <row r="117" spans="16:16">
      <c r="P117"/>
    </row>
    <row r="118" spans="16:16">
      <c r="P118"/>
    </row>
    <row r="119" spans="16:16">
      <c r="P119"/>
    </row>
    <row r="120" spans="16:16">
      <c r="P120"/>
    </row>
    <row r="121" spans="16:16">
      <c r="P121"/>
    </row>
    <row r="122" spans="16:16">
      <c r="P122"/>
    </row>
    <row r="123" spans="16:16">
      <c r="P123"/>
    </row>
    <row r="124" spans="16:16">
      <c r="P124"/>
    </row>
    <row r="125" spans="16:16">
      <c r="P125"/>
    </row>
    <row r="126" spans="16:16">
      <c r="P126"/>
    </row>
    <row r="127" spans="16:16">
      <c r="P127"/>
    </row>
    <row r="128" spans="16:16">
      <c r="P128"/>
    </row>
    <row r="129" spans="16:16">
      <c r="P129"/>
    </row>
    <row r="130" spans="16:16">
      <c r="P130"/>
    </row>
    <row r="131" spans="16:16">
      <c r="P131"/>
    </row>
    <row r="132" spans="16:16">
      <c r="P132"/>
    </row>
    <row r="133" spans="16:16">
      <c r="P133"/>
    </row>
    <row r="134" spans="16:16">
      <c r="P134"/>
    </row>
    <row r="135" spans="16:16">
      <c r="P135"/>
    </row>
  </sheetData>
  <mergeCells count="2">
    <mergeCell ref="A7:A10"/>
    <mergeCell ref="Q2:R7"/>
  </mergeCells>
  <hyperlinks>
    <hyperlink ref="Q34" r:id="rId2" xr:uid="{E09B6E6B-B6C9-41F3-9476-9C2D23D6672B}"/>
    <hyperlink ref="Q35" r:id="rId3" display="https://www.motorpasion.com.mx/industria/volkswagen-tiguan-r-line-se-estrena-en-mexico-con-cuerpo-mas-atletico" xr:uid="{3CF69905-4215-491A-86F0-03147A8420C5}"/>
    <hyperlink ref="Q37" r:id="rId4" display="https://www.motorpasion.com.mx/industria/hyundai-tucson-2019-precios-versiones-equipamiento-mexico" xr:uid="{1F8FCA9C-C4E0-4D62-B6C4-7E7387EF37AF}"/>
    <hyperlink ref="Q36" r:id="rId5" display="https://www.motorpasion.com.mx/industria/hyundai-elantra-2019-precios-versiones-equipamiento-mexico" xr:uid="{91024DDF-70BB-4EEC-840F-8DC256DBC4BD}"/>
    <hyperlink ref="Q38" r:id="rId6" display="https://www.motorpasion.com.mx/pruebas-de-coches/kia-forte-2019-opiniones-lanzamiento-precio-mexico" xr:uid="{B056B40E-054C-46E4-BBD8-B1C133F6D559}"/>
    <hyperlink ref="Q33" r:id="rId7" display="https://www.motorpasion.com.mx/industria/mazda-3-2019-precios-versiones-equipamiento-mexico" xr:uid="{21B23075-0720-4A03-8E88-34E807D30833}"/>
    <hyperlink ref="Q48" r:id="rId8" location=":~:text=La%20nueva%20Honda%20CR%2DV,calza%20rines%20de%2018%20pulgadas." display="https://motoresmx.com/noticias/honda-cr-v-2019-ya-llego-a-mexico/ - :~:text=La%20nueva%20Honda%20CR%2DV,calza%20rines%20de%2018%20pulgadas." xr:uid="{2C5C5DF5-C3DF-4AF8-992E-F539D2BCC45D}"/>
    <hyperlink ref="Q49" r:id="rId9" display="https://www.motorpasion.com.mx/industria/honda-civic-2019-precios-versiones-equipamiento-mexico" xr:uid="{8CEC53A1-69B3-46BB-AEED-7972B08613D2}"/>
    <hyperlink ref="Q51" r:id="rId10" display="https://www.motorpasion.com.mx/pruebas-de-coches/kia-soul-2-0-ex-pack-prueba-opiniones-mexico" xr:uid="{5A340FC4-DECD-4E49-BE45-49DD4E445734}"/>
    <hyperlink ref="Q61" r:id="rId11" display="https://www.motorpasion.com.mx/industria/toyota-rav4-2019-precios-versiones-equipamiento-mexico" xr:uid="{328F61CF-8C00-4565-BFA7-181AA86EA491}"/>
    <hyperlink ref="Q54" r:id="rId12" location=":~:text=La%20RAM%201500%20Limited%202019,precio%20inicial%20de%20%241%2C099%2C900%20pesos." display="https://noticias.autocosmos.com.mx/2018/08/14/ram-1500-limited-2019-llega-a-mexico-desde-1099900-pesos - :~:text=La%20RAM%201500%20Limited%202019,precio%20inicial%20de%20%241%2C099%2C900%20pesos." xr:uid="{32D623F0-0B9A-4529-BD01-ED5324560B27}"/>
    <hyperlink ref="R35" r:id="rId13" xr:uid="{0001586E-6390-4EDF-845D-AC7399731DA6}"/>
    <hyperlink ref="Q40" r:id="rId14" xr:uid="{B136F26C-3F4C-48FE-A7FE-8D9F6C2A2D1C}"/>
  </hyperlinks>
  <pageMargins left="0.7" right="0.7" top="0.75" bottom="0.75" header="0.3" footer="0.3"/>
  <pageSetup orientation="portrait" horizontalDpi="360" verticalDpi="360" r:id="rId15"/>
  <drawing r:id="rId16"/>
  <legacy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2720-D654-47EF-A4FC-A79F2358B8FA}">
  <dimension ref="A1:C876"/>
  <sheetViews>
    <sheetView topLeftCell="A748" zoomScale="115" zoomScaleNormal="115" workbookViewId="0">
      <selection activeCell="B163" sqref="B163"/>
    </sheetView>
  </sheetViews>
  <sheetFormatPr baseColWidth="10" defaultRowHeight="14.4"/>
  <cols>
    <col min="1" max="1" width="30.21875" bestFit="1" customWidth="1"/>
    <col min="2" max="2" width="14.109375" style="45" bestFit="1" customWidth="1"/>
    <col min="3" max="3" width="11.88671875" bestFit="1" customWidth="1"/>
  </cols>
  <sheetData>
    <row r="1" spans="1:3">
      <c r="A1" s="10" t="s">
        <v>113</v>
      </c>
      <c r="B1" t="s">
        <v>60</v>
      </c>
    </row>
    <row r="2" spans="1:3">
      <c r="A2" s="10" t="s">
        <v>105</v>
      </c>
      <c r="B2" t="s">
        <v>60</v>
      </c>
    </row>
    <row r="4" spans="1:3">
      <c r="A4" s="10" t="s">
        <v>50</v>
      </c>
      <c r="B4" t="s">
        <v>129</v>
      </c>
      <c r="C4" t="s">
        <v>130</v>
      </c>
    </row>
    <row r="5" spans="1:3">
      <c r="A5" s="11" t="s">
        <v>187</v>
      </c>
      <c r="B5" s="12">
        <v>444900</v>
      </c>
      <c r="C5" s="12">
        <v>570492</v>
      </c>
    </row>
    <row r="6" spans="1:3">
      <c r="A6" s="11" t="s">
        <v>141</v>
      </c>
      <c r="B6" s="12">
        <v>699900</v>
      </c>
      <c r="C6" s="12">
        <v>647640.07200000004</v>
      </c>
    </row>
    <row r="7" spans="1:3">
      <c r="A7" s="11" t="s">
        <v>51</v>
      </c>
      <c r="B7" s="12">
        <v>1144800</v>
      </c>
      <c r="C7" s="12">
        <v>1218132.0720000002</v>
      </c>
    </row>
    <row r="8" spans="1:3">
      <c r="B8"/>
    </row>
    <row r="26" spans="1:3">
      <c r="A26" s="10" t="s">
        <v>113</v>
      </c>
      <c r="B26" t="s">
        <v>60</v>
      </c>
    </row>
    <row r="27" spans="1:3">
      <c r="A27" s="10" t="s">
        <v>105</v>
      </c>
      <c r="B27" t="s">
        <v>60</v>
      </c>
    </row>
    <row r="29" spans="1:3">
      <c r="A29" s="10" t="s">
        <v>50</v>
      </c>
      <c r="B29" t="s">
        <v>129</v>
      </c>
      <c r="C29" t="s">
        <v>130</v>
      </c>
    </row>
    <row r="30" spans="1:3">
      <c r="A30" s="11" t="s">
        <v>188</v>
      </c>
      <c r="B30" s="12">
        <v>589900</v>
      </c>
      <c r="C30" s="12">
        <v>630964.152</v>
      </c>
    </row>
    <row r="31" spans="1:3">
      <c r="A31" s="11" t="s">
        <v>142</v>
      </c>
      <c r="B31" s="12">
        <v>1170000</v>
      </c>
      <c r="C31" s="12">
        <v>728386.63199999998</v>
      </c>
    </row>
    <row r="32" spans="1:3">
      <c r="A32" s="11" t="s">
        <v>51</v>
      </c>
      <c r="B32" s="12">
        <v>1759900</v>
      </c>
      <c r="C32" s="12">
        <v>1359350.784</v>
      </c>
    </row>
    <row r="50" spans="1:3">
      <c r="A50" s="10" t="s">
        <v>113</v>
      </c>
      <c r="B50" t="s">
        <v>60</v>
      </c>
    </row>
    <row r="51" spans="1:3">
      <c r="A51" s="10" t="s">
        <v>105</v>
      </c>
      <c r="B51" t="s">
        <v>60</v>
      </c>
    </row>
    <row r="53" spans="1:3">
      <c r="A53" s="10" t="s">
        <v>50</v>
      </c>
      <c r="B53" t="s">
        <v>129</v>
      </c>
      <c r="C53" t="s">
        <v>130</v>
      </c>
    </row>
    <row r="54" spans="1:3">
      <c r="A54" s="11" t="s">
        <v>189</v>
      </c>
      <c r="B54" s="12">
        <v>845800</v>
      </c>
      <c r="C54" s="12">
        <v>781135.2</v>
      </c>
    </row>
    <row r="55" spans="1:3">
      <c r="A55" s="11" t="s">
        <v>117</v>
      </c>
      <c r="B55" s="12">
        <v>1106400</v>
      </c>
      <c r="C55" s="12">
        <v>983089.36800000002</v>
      </c>
    </row>
    <row r="56" spans="1:3">
      <c r="A56" s="11" t="s">
        <v>51</v>
      </c>
      <c r="B56" s="12">
        <v>1952200</v>
      </c>
      <c r="C56" s="12">
        <v>1764224.568</v>
      </c>
    </row>
    <row r="75" spans="1:3">
      <c r="A75" s="10" t="s">
        <v>113</v>
      </c>
      <c r="B75" t="s">
        <v>60</v>
      </c>
    </row>
    <row r="76" spans="1:3">
      <c r="A76" s="10" t="s">
        <v>105</v>
      </c>
      <c r="B76" t="s">
        <v>60</v>
      </c>
    </row>
    <row r="78" spans="1:3">
      <c r="A78" s="10" t="s">
        <v>50</v>
      </c>
      <c r="B78" t="s">
        <v>129</v>
      </c>
      <c r="C78" t="s">
        <v>130</v>
      </c>
    </row>
    <row r="79" spans="1:3">
      <c r="A79" s="11" t="s">
        <v>148</v>
      </c>
      <c r="B79" s="12">
        <v>1123700</v>
      </c>
      <c r="C79" s="12">
        <v>953072.71199999994</v>
      </c>
    </row>
    <row r="80" spans="1:3">
      <c r="A80" s="11" t="s">
        <v>146</v>
      </c>
      <c r="B80" s="12">
        <v>1702600</v>
      </c>
      <c r="C80" s="12">
        <v>1184780.2319999998</v>
      </c>
    </row>
    <row r="81" spans="1:3">
      <c r="A81" s="11" t="s">
        <v>51</v>
      </c>
      <c r="B81" s="12">
        <v>2826300</v>
      </c>
      <c r="C81" s="12">
        <v>2137852.9439999997</v>
      </c>
    </row>
    <row r="82" spans="1:3">
      <c r="B82"/>
    </row>
    <row r="83" spans="1:3">
      <c r="B83"/>
    </row>
    <row r="84" spans="1:3">
      <c r="B84"/>
    </row>
    <row r="85" spans="1:3">
      <c r="B85"/>
    </row>
    <row r="86" spans="1:3">
      <c r="B86"/>
    </row>
    <row r="87" spans="1:3">
      <c r="B87"/>
    </row>
    <row r="88" spans="1:3">
      <c r="B88"/>
    </row>
    <row r="89" spans="1:3">
      <c r="B89"/>
    </row>
    <row r="90" spans="1:3">
      <c r="B90"/>
    </row>
    <row r="91" spans="1:3">
      <c r="B91"/>
    </row>
    <row r="92" spans="1:3">
      <c r="B92"/>
    </row>
    <row r="93" spans="1:3">
      <c r="B93"/>
    </row>
    <row r="94" spans="1:3">
      <c r="B94"/>
    </row>
    <row r="95" spans="1:3">
      <c r="B95"/>
    </row>
    <row r="96" spans="1:3">
      <c r="B96"/>
    </row>
    <row r="97" spans="1:3">
      <c r="B97"/>
    </row>
    <row r="98" spans="1:3">
      <c r="B98"/>
    </row>
    <row r="99" spans="1:3">
      <c r="B99"/>
    </row>
    <row r="100" spans="1:3">
      <c r="B100"/>
    </row>
    <row r="101" spans="1:3">
      <c r="A101" s="10" t="s">
        <v>113</v>
      </c>
      <c r="B101" t="s">
        <v>60</v>
      </c>
    </row>
    <row r="102" spans="1:3">
      <c r="A102" s="10" t="s">
        <v>105</v>
      </c>
      <c r="B102" t="s">
        <v>60</v>
      </c>
    </row>
    <row r="104" spans="1:3">
      <c r="A104" s="10" t="s">
        <v>50</v>
      </c>
      <c r="B104" t="s">
        <v>129</v>
      </c>
      <c r="C104" t="s">
        <v>130</v>
      </c>
    </row>
    <row r="105" spans="1:3">
      <c r="A105" s="11" t="s">
        <v>147</v>
      </c>
      <c r="B105" s="12">
        <v>313000</v>
      </c>
      <c r="C105" s="12">
        <v>391357.51199999999</v>
      </c>
    </row>
    <row r="106" spans="1:3">
      <c r="A106" s="11" t="s">
        <v>145</v>
      </c>
      <c r="B106" s="12">
        <v>507000</v>
      </c>
      <c r="C106" s="12">
        <v>401714.136</v>
      </c>
    </row>
    <row r="107" spans="1:3">
      <c r="A107" s="11" t="s">
        <v>51</v>
      </c>
      <c r="B107" s="12">
        <v>820000</v>
      </c>
      <c r="C107" s="12">
        <v>793071.64800000004</v>
      </c>
    </row>
    <row r="108" spans="1:3">
      <c r="B108"/>
    </row>
    <row r="109" spans="1:3">
      <c r="B109"/>
    </row>
    <row r="110" spans="1:3">
      <c r="B110"/>
    </row>
    <row r="111" spans="1:3">
      <c r="B111"/>
    </row>
    <row r="112" spans="1:3">
      <c r="B112"/>
    </row>
    <row r="113" spans="1:2">
      <c r="B113"/>
    </row>
    <row r="114" spans="1:2">
      <c r="B114"/>
    </row>
    <row r="115" spans="1:2">
      <c r="B115"/>
    </row>
    <row r="116" spans="1:2">
      <c r="B116"/>
    </row>
    <row r="117" spans="1:2">
      <c r="B117"/>
    </row>
    <row r="118" spans="1:2">
      <c r="B118"/>
    </row>
    <row r="119" spans="1:2">
      <c r="B119"/>
    </row>
    <row r="120" spans="1:2">
      <c r="B120"/>
    </row>
    <row r="121" spans="1:2">
      <c r="B121"/>
    </row>
    <row r="122" spans="1:2">
      <c r="B122"/>
    </row>
    <row r="123" spans="1:2">
      <c r="B123"/>
    </row>
    <row r="124" spans="1:2">
      <c r="B124"/>
    </row>
    <row r="125" spans="1:2">
      <c r="B125"/>
    </row>
    <row r="126" spans="1:2">
      <c r="A126" s="10" t="s">
        <v>113</v>
      </c>
      <c r="B126" t="s">
        <v>60</v>
      </c>
    </row>
    <row r="127" spans="1:2">
      <c r="A127" s="10" t="s">
        <v>105</v>
      </c>
      <c r="B127" t="s">
        <v>60</v>
      </c>
    </row>
    <row r="129" spans="1:3">
      <c r="A129" s="10" t="s">
        <v>50</v>
      </c>
      <c r="B129" t="s">
        <v>129</v>
      </c>
      <c r="C129" t="s">
        <v>130</v>
      </c>
    </row>
    <row r="130" spans="1:3">
      <c r="A130" s="11" t="s">
        <v>152</v>
      </c>
      <c r="B130" s="12">
        <v>972700</v>
      </c>
      <c r="C130" s="12">
        <v>992041.70399999991</v>
      </c>
    </row>
    <row r="131" spans="1:3">
      <c r="A131" s="11" t="s">
        <v>190</v>
      </c>
      <c r="B131" s="12">
        <v>1534900</v>
      </c>
      <c r="C131" s="12">
        <v>1465901.1359999999</v>
      </c>
    </row>
    <row r="132" spans="1:3">
      <c r="A132" s="11" t="s">
        <v>51</v>
      </c>
      <c r="B132" s="12">
        <v>2507600</v>
      </c>
      <c r="C132" s="12">
        <v>2457942.84</v>
      </c>
    </row>
    <row r="133" spans="1:3">
      <c r="B133"/>
    </row>
    <row r="134" spans="1:3">
      <c r="B134"/>
    </row>
    <row r="135" spans="1:3">
      <c r="B135"/>
    </row>
    <row r="136" spans="1:3">
      <c r="B136"/>
    </row>
    <row r="137" spans="1:3">
      <c r="B137"/>
    </row>
    <row r="138" spans="1:3">
      <c r="B138"/>
    </row>
    <row r="139" spans="1:3">
      <c r="B139"/>
    </row>
    <row r="151" spans="1:3">
      <c r="A151" s="10" t="s">
        <v>113</v>
      </c>
      <c r="B151" t="s">
        <v>60</v>
      </c>
    </row>
    <row r="152" spans="1:3">
      <c r="A152" s="10" t="s">
        <v>105</v>
      </c>
      <c r="B152" t="s">
        <v>60</v>
      </c>
    </row>
    <row r="154" spans="1:3">
      <c r="A154" s="10" t="s">
        <v>50</v>
      </c>
      <c r="B154" t="s">
        <v>129</v>
      </c>
      <c r="C154" t="s">
        <v>130</v>
      </c>
    </row>
    <row r="155" spans="1:3">
      <c r="A155" s="11" t="s">
        <v>150</v>
      </c>
      <c r="B155" s="12">
        <v>662800</v>
      </c>
      <c r="C155" s="12">
        <v>482548.46399999998</v>
      </c>
    </row>
    <row r="156" spans="1:3">
      <c r="A156" s="11" t="s">
        <v>149</v>
      </c>
      <c r="B156" s="12">
        <v>1008000</v>
      </c>
      <c r="C156" s="12">
        <v>701792.92799999996</v>
      </c>
    </row>
    <row r="157" spans="1:3">
      <c r="A157" s="11" t="s">
        <v>51</v>
      </c>
      <c r="B157" s="12">
        <v>1670800</v>
      </c>
      <c r="C157" s="12">
        <v>1184341.392</v>
      </c>
    </row>
    <row r="158" spans="1:3">
      <c r="B158"/>
    </row>
    <row r="159" spans="1:3">
      <c r="B159"/>
    </row>
    <row r="160" spans="1:3">
      <c r="B160"/>
    </row>
    <row r="161" spans="1:2">
      <c r="B161"/>
    </row>
    <row r="162" spans="1:2">
      <c r="B162"/>
    </row>
    <row r="163" spans="1:2">
      <c r="B163"/>
    </row>
    <row r="164" spans="1:2">
      <c r="B164"/>
    </row>
    <row r="165" spans="1:2">
      <c r="B165"/>
    </row>
    <row r="166" spans="1:2">
      <c r="B166"/>
    </row>
    <row r="167" spans="1:2">
      <c r="B167"/>
    </row>
    <row r="168" spans="1:2">
      <c r="B168"/>
    </row>
    <row r="169" spans="1:2">
      <c r="B169"/>
    </row>
    <row r="170" spans="1:2">
      <c r="B170"/>
    </row>
    <row r="171" spans="1:2">
      <c r="B171"/>
    </row>
    <row r="172" spans="1:2">
      <c r="B172"/>
    </row>
    <row r="173" spans="1:2">
      <c r="B173"/>
    </row>
    <row r="174" spans="1:2">
      <c r="B174"/>
    </row>
    <row r="175" spans="1:2">
      <c r="B175"/>
    </row>
    <row r="176" spans="1:2">
      <c r="A176" s="10" t="s">
        <v>113</v>
      </c>
      <c r="B176" t="s">
        <v>60</v>
      </c>
    </row>
    <row r="177" spans="1:3">
      <c r="A177" s="10" t="s">
        <v>105</v>
      </c>
      <c r="B177" t="s">
        <v>60</v>
      </c>
    </row>
    <row r="179" spans="1:3">
      <c r="A179" s="10" t="s">
        <v>50</v>
      </c>
      <c r="B179" t="s">
        <v>129</v>
      </c>
      <c r="C179" t="s">
        <v>130</v>
      </c>
    </row>
    <row r="180" spans="1:3">
      <c r="A180" s="11" t="s">
        <v>153</v>
      </c>
      <c r="B180" s="12">
        <v>1226100</v>
      </c>
      <c r="C180" s="12">
        <v>1018108.7999999999</v>
      </c>
    </row>
    <row r="181" spans="1:3">
      <c r="A181" s="11" t="s">
        <v>118</v>
      </c>
      <c r="B181" s="12">
        <v>1739900</v>
      </c>
      <c r="C181" s="12">
        <v>1398056.4719999998</v>
      </c>
    </row>
    <row r="182" spans="1:3">
      <c r="A182" s="11" t="s">
        <v>51</v>
      </c>
      <c r="B182" s="12">
        <v>2966000</v>
      </c>
      <c r="C182" s="12">
        <v>2416165.2719999999</v>
      </c>
    </row>
    <row r="183" spans="1:3">
      <c r="B183"/>
    </row>
    <row r="184" spans="1:3">
      <c r="B184"/>
    </row>
    <row r="185" spans="1:3">
      <c r="B185"/>
    </row>
    <row r="186" spans="1:3">
      <c r="B186"/>
    </row>
    <row r="187" spans="1:3">
      <c r="B187"/>
    </row>
    <row r="188" spans="1:3">
      <c r="B188"/>
    </row>
    <row r="189" spans="1:3">
      <c r="B189"/>
    </row>
    <row r="190" spans="1:3">
      <c r="B190"/>
    </row>
    <row r="191" spans="1:3">
      <c r="B191"/>
    </row>
    <row r="192" spans="1:3">
      <c r="B192"/>
    </row>
    <row r="193" spans="1:3">
      <c r="B193"/>
    </row>
    <row r="194" spans="1:3">
      <c r="B194"/>
    </row>
    <row r="195" spans="1:3">
      <c r="B195"/>
    </row>
    <row r="196" spans="1:3">
      <c r="B196"/>
    </row>
    <row r="197" spans="1:3">
      <c r="B197"/>
    </row>
    <row r="198" spans="1:3">
      <c r="B198"/>
    </row>
    <row r="199" spans="1:3">
      <c r="B199"/>
    </row>
    <row r="200" spans="1:3">
      <c r="B200"/>
    </row>
    <row r="201" spans="1:3">
      <c r="A201" s="10" t="s">
        <v>113</v>
      </c>
      <c r="B201" t="s">
        <v>60</v>
      </c>
    </row>
    <row r="202" spans="1:3">
      <c r="A202" s="10" t="s">
        <v>105</v>
      </c>
      <c r="B202" t="s">
        <v>60</v>
      </c>
    </row>
    <row r="204" spans="1:3">
      <c r="A204" s="10" t="s">
        <v>50</v>
      </c>
      <c r="B204" t="s">
        <v>129</v>
      </c>
      <c r="C204" t="s">
        <v>130</v>
      </c>
    </row>
    <row r="205" spans="1:3">
      <c r="A205" s="11" t="s">
        <v>151</v>
      </c>
      <c r="B205" s="12">
        <v>1357400</v>
      </c>
      <c r="C205" s="12">
        <v>1193557.0319999999</v>
      </c>
    </row>
    <row r="206" spans="1:3">
      <c r="A206" s="11" t="s">
        <v>119</v>
      </c>
      <c r="B206" s="12">
        <v>2173900</v>
      </c>
      <c r="C206" s="12">
        <v>1577542.0320000001</v>
      </c>
    </row>
    <row r="207" spans="1:3">
      <c r="A207" s="11" t="s">
        <v>51</v>
      </c>
      <c r="B207" s="12">
        <v>3531300</v>
      </c>
      <c r="C207" s="12">
        <v>2771099.0640000002</v>
      </c>
    </row>
    <row r="208" spans="1:3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26" spans="1:3">
      <c r="A226" s="10" t="s">
        <v>113</v>
      </c>
      <c r="B226" t="s">
        <v>60</v>
      </c>
    </row>
    <row r="227" spans="1:3">
      <c r="A227" s="10" t="s">
        <v>105</v>
      </c>
      <c r="B227" t="s">
        <v>60</v>
      </c>
    </row>
    <row r="229" spans="1:3">
      <c r="A229" s="10" t="s">
        <v>50</v>
      </c>
      <c r="B229" t="s">
        <v>129</v>
      </c>
      <c r="C229" t="s">
        <v>130</v>
      </c>
    </row>
    <row r="230" spans="1:3">
      <c r="A230" s="11" t="s">
        <v>160</v>
      </c>
      <c r="B230" s="12">
        <v>334900</v>
      </c>
      <c r="C230" s="12">
        <v>425762.56800000003</v>
      </c>
    </row>
    <row r="231" spans="1:3">
      <c r="A231" s="11" t="s">
        <v>156</v>
      </c>
      <c r="B231" s="12">
        <v>550900</v>
      </c>
      <c r="C231" s="12">
        <v>439629.91199999995</v>
      </c>
    </row>
    <row r="232" spans="1:3">
      <c r="A232" s="11" t="s">
        <v>51</v>
      </c>
      <c r="B232" s="12">
        <v>885800</v>
      </c>
      <c r="C232" s="12">
        <v>865392.48</v>
      </c>
    </row>
    <row r="251" spans="1:3">
      <c r="A251" s="10" t="s">
        <v>113</v>
      </c>
      <c r="B251" t="s">
        <v>60</v>
      </c>
    </row>
    <row r="252" spans="1:3">
      <c r="A252" s="10" t="s">
        <v>105</v>
      </c>
      <c r="B252" t="s">
        <v>60</v>
      </c>
    </row>
    <row r="254" spans="1:3">
      <c r="A254" s="10" t="s">
        <v>50</v>
      </c>
      <c r="B254" t="s">
        <v>129</v>
      </c>
      <c r="C254" t="s">
        <v>130</v>
      </c>
    </row>
    <row r="255" spans="1:3">
      <c r="A255" s="11" t="s">
        <v>157</v>
      </c>
      <c r="B255" s="12">
        <v>429900</v>
      </c>
      <c r="C255" s="12">
        <v>448845.55199999997</v>
      </c>
    </row>
    <row r="256" spans="1:3">
      <c r="A256" s="11" t="s">
        <v>155</v>
      </c>
      <c r="B256" s="12">
        <v>739900</v>
      </c>
      <c r="C256" s="12">
        <v>573125.03999999992</v>
      </c>
    </row>
    <row r="257" spans="1:3">
      <c r="A257" s="11" t="s">
        <v>51</v>
      </c>
      <c r="B257" s="12">
        <v>1169800</v>
      </c>
      <c r="C257" s="12">
        <v>1021970.5919999999</v>
      </c>
    </row>
    <row r="276" spans="1:3">
      <c r="A276" s="10" t="s">
        <v>113</v>
      </c>
      <c r="B276" t="s">
        <v>60</v>
      </c>
    </row>
    <row r="277" spans="1:3">
      <c r="A277" s="10" t="s">
        <v>105</v>
      </c>
      <c r="B277" t="s">
        <v>60</v>
      </c>
    </row>
    <row r="279" spans="1:3">
      <c r="A279" s="10" t="s">
        <v>50</v>
      </c>
      <c r="B279" t="s">
        <v>129</v>
      </c>
      <c r="C279" t="s">
        <v>130</v>
      </c>
    </row>
    <row r="280" spans="1:3">
      <c r="A280" s="11" t="s">
        <v>138</v>
      </c>
      <c r="B280" s="12">
        <v>358620.04799999995</v>
      </c>
      <c r="C280" s="12">
        <v>303900</v>
      </c>
    </row>
    <row r="281" spans="1:3">
      <c r="A281" s="11" t="s">
        <v>135</v>
      </c>
      <c r="B281" s="12">
        <v>399783.24</v>
      </c>
      <c r="C281" s="12">
        <v>502500</v>
      </c>
    </row>
    <row r="282" spans="1:3">
      <c r="A282" s="11" t="s">
        <v>51</v>
      </c>
      <c r="B282" s="12">
        <v>758403.28799999994</v>
      </c>
      <c r="C282" s="12">
        <v>806400</v>
      </c>
    </row>
    <row r="301" spans="1:3">
      <c r="A301" s="10" t="s">
        <v>113</v>
      </c>
      <c r="B301" t="s">
        <v>60</v>
      </c>
    </row>
    <row r="302" spans="1:3">
      <c r="A302" s="10" t="s">
        <v>105</v>
      </c>
      <c r="B302" t="s">
        <v>60</v>
      </c>
    </row>
    <row r="304" spans="1:3">
      <c r="A304" s="10" t="s">
        <v>50</v>
      </c>
      <c r="B304" t="s">
        <v>129</v>
      </c>
      <c r="C304" t="s">
        <v>130</v>
      </c>
    </row>
    <row r="305" spans="1:3">
      <c r="A305" s="11" t="s">
        <v>139</v>
      </c>
      <c r="B305" s="12">
        <v>392900</v>
      </c>
      <c r="C305" s="12">
        <v>471226.39199999999</v>
      </c>
    </row>
    <row r="306" spans="1:3">
      <c r="A306" s="11" t="s">
        <v>136</v>
      </c>
      <c r="B306" s="12">
        <v>563100</v>
      </c>
      <c r="C306" s="12">
        <v>506860.19999999995</v>
      </c>
    </row>
    <row r="307" spans="1:3">
      <c r="A307" s="11" t="s">
        <v>51</v>
      </c>
      <c r="B307" s="12">
        <v>956000</v>
      </c>
      <c r="C307" s="12">
        <v>978086.59199999995</v>
      </c>
    </row>
    <row r="326" spans="1:3">
      <c r="A326" s="10" t="s">
        <v>113</v>
      </c>
      <c r="B326" t="s">
        <v>60</v>
      </c>
    </row>
    <row r="327" spans="1:3">
      <c r="A327" s="10" t="s">
        <v>105</v>
      </c>
      <c r="B327" t="s">
        <v>60</v>
      </c>
    </row>
    <row r="329" spans="1:3">
      <c r="A329" s="10" t="s">
        <v>50</v>
      </c>
      <c r="B329" t="s">
        <v>129</v>
      </c>
      <c r="C329" t="s">
        <v>130</v>
      </c>
    </row>
    <row r="330" spans="1:3">
      <c r="A330" s="11" t="s">
        <v>140</v>
      </c>
      <c r="B330" s="12">
        <v>332900</v>
      </c>
      <c r="C330" s="12">
        <v>386003.66399999999</v>
      </c>
    </row>
    <row r="331" spans="1:3">
      <c r="A331" s="11" t="s">
        <v>137</v>
      </c>
      <c r="B331" s="12">
        <v>442900</v>
      </c>
      <c r="C331" s="12">
        <v>379947.67199999996</v>
      </c>
    </row>
    <row r="332" spans="1:3">
      <c r="A332" s="11" t="s">
        <v>51</v>
      </c>
      <c r="B332" s="12">
        <v>775800</v>
      </c>
      <c r="C332" s="12">
        <v>765951.33599999989</v>
      </c>
    </row>
    <row r="351" spans="1:2">
      <c r="A351" s="10" t="s">
        <v>113</v>
      </c>
      <c r="B351" t="s">
        <v>60</v>
      </c>
    </row>
    <row r="352" spans="1:2">
      <c r="A352" s="10" t="s">
        <v>105</v>
      </c>
      <c r="B352" t="s">
        <v>60</v>
      </c>
    </row>
    <row r="354" spans="1:3">
      <c r="A354" s="10" t="s">
        <v>50</v>
      </c>
      <c r="B354" t="s">
        <v>129</v>
      </c>
      <c r="C354" t="s">
        <v>130</v>
      </c>
    </row>
    <row r="355" spans="1:3">
      <c r="A355" s="11" t="s">
        <v>166</v>
      </c>
      <c r="B355" s="12">
        <v>355000</v>
      </c>
      <c r="C355" s="12">
        <v>595944.72</v>
      </c>
    </row>
    <row r="356" spans="1:3">
      <c r="A356" s="11" t="s">
        <v>163</v>
      </c>
      <c r="B356" s="12">
        <v>416900</v>
      </c>
      <c r="C356" s="12">
        <v>378543.38400000002</v>
      </c>
    </row>
    <row r="357" spans="1:3">
      <c r="A357" s="11" t="s">
        <v>51</v>
      </c>
      <c r="B357" s="12">
        <v>771900</v>
      </c>
      <c r="C357" s="12">
        <v>974488.10400000005</v>
      </c>
    </row>
    <row r="376" spans="1:3">
      <c r="A376" s="10" t="s">
        <v>113</v>
      </c>
      <c r="B376" t="s">
        <v>60</v>
      </c>
    </row>
    <row r="377" spans="1:3">
      <c r="A377" s="10" t="s">
        <v>105</v>
      </c>
      <c r="B377" t="s">
        <v>60</v>
      </c>
    </row>
    <row r="379" spans="1:3">
      <c r="A379" s="10" t="s">
        <v>50</v>
      </c>
      <c r="B379" t="s">
        <v>129</v>
      </c>
      <c r="C379" t="s">
        <v>130</v>
      </c>
    </row>
    <row r="380" spans="1:3">
      <c r="A380" s="11" t="s">
        <v>162</v>
      </c>
      <c r="B380" s="12">
        <v>372400</v>
      </c>
      <c r="C380" s="12">
        <v>416897.99999999994</v>
      </c>
    </row>
    <row r="381" spans="1:3">
      <c r="A381" s="11" t="s">
        <v>159</v>
      </c>
      <c r="B381" s="12">
        <v>692900</v>
      </c>
      <c r="C381" s="12">
        <v>501418.58399999997</v>
      </c>
    </row>
    <row r="382" spans="1:3">
      <c r="A382" s="11" t="s">
        <v>51</v>
      </c>
      <c r="B382" s="12">
        <v>1065300</v>
      </c>
      <c r="C382" s="12">
        <v>918316.58399999992</v>
      </c>
    </row>
    <row r="401" spans="1:3">
      <c r="A401" s="10" t="s">
        <v>113</v>
      </c>
      <c r="B401" t="s">
        <v>60</v>
      </c>
    </row>
    <row r="402" spans="1:3">
      <c r="A402" s="10" t="s">
        <v>105</v>
      </c>
      <c r="B402" t="s">
        <v>60</v>
      </c>
    </row>
    <row r="404" spans="1:3">
      <c r="A404" s="10" t="s">
        <v>50</v>
      </c>
      <c r="B404" t="s">
        <v>129</v>
      </c>
      <c r="C404" t="s">
        <v>130</v>
      </c>
    </row>
    <row r="405" spans="1:3">
      <c r="A405" s="11" t="s">
        <v>193</v>
      </c>
      <c r="B405" s="12">
        <v>438839.99999999994</v>
      </c>
      <c r="C405" s="12">
        <v>454900</v>
      </c>
    </row>
    <row r="406" spans="1:3">
      <c r="A406" s="11" t="s">
        <v>165</v>
      </c>
      <c r="B406" s="12">
        <v>462888.43199999997</v>
      </c>
      <c r="C406" s="12">
        <v>459900</v>
      </c>
    </row>
    <row r="407" spans="1:3">
      <c r="A407" s="11" t="s">
        <v>51</v>
      </c>
      <c r="B407" s="12">
        <v>901728.43199999991</v>
      </c>
      <c r="C407" s="12">
        <v>914800</v>
      </c>
    </row>
    <row r="408" spans="1:3">
      <c r="B408"/>
    </row>
    <row r="409" spans="1:3">
      <c r="B409"/>
    </row>
    <row r="427" spans="1:3">
      <c r="A427" s="10" t="s">
        <v>113</v>
      </c>
      <c r="B427" t="s">
        <v>60</v>
      </c>
    </row>
    <row r="428" spans="1:3">
      <c r="A428" s="10" t="s">
        <v>105</v>
      </c>
      <c r="B428" t="s">
        <v>60</v>
      </c>
    </row>
    <row r="430" spans="1:3">
      <c r="A430" s="10" t="s">
        <v>50</v>
      </c>
      <c r="B430" t="s">
        <v>129</v>
      </c>
      <c r="C430" t="s">
        <v>130</v>
      </c>
    </row>
    <row r="431" spans="1:3">
      <c r="A431" s="11" t="s">
        <v>185</v>
      </c>
      <c r="B431" s="12">
        <v>392900</v>
      </c>
      <c r="C431" s="12">
        <v>393990.55199999997</v>
      </c>
    </row>
    <row r="432" spans="1:3">
      <c r="A432" s="11" t="s">
        <v>120</v>
      </c>
      <c r="B432" s="12">
        <v>402900</v>
      </c>
      <c r="C432" s="12">
        <v>444720.45600000001</v>
      </c>
    </row>
    <row r="433" spans="1:3">
      <c r="A433" s="11" t="s">
        <v>51</v>
      </c>
      <c r="B433" s="12">
        <v>795800</v>
      </c>
      <c r="C433" s="12">
        <v>838711.00799999991</v>
      </c>
    </row>
    <row r="453" spans="1:3">
      <c r="A453" s="10" t="s">
        <v>113</v>
      </c>
      <c r="B453" t="s">
        <v>60</v>
      </c>
    </row>
    <row r="454" spans="1:3">
      <c r="A454" s="10" t="s">
        <v>105</v>
      </c>
      <c r="B454" t="s">
        <v>60</v>
      </c>
    </row>
    <row r="456" spans="1:3">
      <c r="A456" s="10" t="s">
        <v>50</v>
      </c>
      <c r="B456" t="s">
        <v>129</v>
      </c>
      <c r="C456" t="s">
        <v>130</v>
      </c>
    </row>
    <row r="457" spans="1:3">
      <c r="A457" s="11" t="s">
        <v>191</v>
      </c>
      <c r="B457" s="12">
        <v>859900</v>
      </c>
      <c r="C457" s="12">
        <v>695034.79200000002</v>
      </c>
    </row>
    <row r="458" spans="1:3">
      <c r="A458" s="11" t="s">
        <v>180</v>
      </c>
      <c r="B458" s="12">
        <v>1135000</v>
      </c>
      <c r="C458" s="12">
        <v>907872.19200000004</v>
      </c>
    </row>
    <row r="459" spans="1:3">
      <c r="A459" s="11" t="s">
        <v>51</v>
      </c>
      <c r="B459" s="12">
        <v>1994900</v>
      </c>
      <c r="C459" s="12">
        <v>1602906.9840000002</v>
      </c>
    </row>
    <row r="478" spans="1:2">
      <c r="A478" s="10" t="s">
        <v>113</v>
      </c>
      <c r="B478" t="s">
        <v>60</v>
      </c>
    </row>
    <row r="479" spans="1:2">
      <c r="A479" s="10" t="s">
        <v>105</v>
      </c>
      <c r="B479" t="s">
        <v>60</v>
      </c>
    </row>
    <row r="481" spans="1:3">
      <c r="A481" s="10" t="s">
        <v>50</v>
      </c>
      <c r="B481" t="s">
        <v>129</v>
      </c>
      <c r="C481" t="s">
        <v>130</v>
      </c>
    </row>
    <row r="482" spans="1:3">
      <c r="A482" s="11" t="s">
        <v>178</v>
      </c>
      <c r="B482" s="12">
        <v>551900</v>
      </c>
      <c r="C482" s="12">
        <v>605160.36</v>
      </c>
    </row>
    <row r="483" spans="1:3">
      <c r="A483" s="11" t="s">
        <v>181</v>
      </c>
      <c r="B483" s="12">
        <v>1055900</v>
      </c>
      <c r="C483" s="12">
        <v>720926.35200000007</v>
      </c>
    </row>
    <row r="484" spans="1:3">
      <c r="A484" s="11" t="s">
        <v>51</v>
      </c>
      <c r="B484" s="12">
        <v>1607800</v>
      </c>
      <c r="C484" s="12">
        <v>1326086.7120000001</v>
      </c>
    </row>
    <row r="503" spans="1:3">
      <c r="A503" s="10" t="s">
        <v>113</v>
      </c>
      <c r="B503" t="s">
        <v>60</v>
      </c>
    </row>
    <row r="504" spans="1:3">
      <c r="A504" s="10" t="s">
        <v>105</v>
      </c>
      <c r="B504" t="s">
        <v>60</v>
      </c>
    </row>
    <row r="506" spans="1:3">
      <c r="A506" s="10" t="s">
        <v>50</v>
      </c>
      <c r="B506" t="s">
        <v>129</v>
      </c>
      <c r="C506" t="s">
        <v>130</v>
      </c>
    </row>
    <row r="507" spans="1:3">
      <c r="A507" s="11" t="s">
        <v>177</v>
      </c>
      <c r="B507" s="12">
        <v>262800</v>
      </c>
      <c r="C507" s="12">
        <v>332026.34399999998</v>
      </c>
    </row>
    <row r="508" spans="1:3">
      <c r="A508" s="11" t="s">
        <v>175</v>
      </c>
      <c r="B508" s="12">
        <v>423900</v>
      </c>
      <c r="C508" s="12">
        <v>386705.80800000002</v>
      </c>
    </row>
    <row r="509" spans="1:3">
      <c r="A509" s="11" t="s">
        <v>51</v>
      </c>
      <c r="B509" s="12">
        <v>686700</v>
      </c>
      <c r="C509" s="12">
        <v>718732.152</v>
      </c>
    </row>
    <row r="528" spans="1:2">
      <c r="A528" s="10" t="s">
        <v>113</v>
      </c>
      <c r="B528" t="s">
        <v>60</v>
      </c>
    </row>
    <row r="529" spans="1:3">
      <c r="A529" s="10" t="s">
        <v>105</v>
      </c>
      <c r="B529" t="s">
        <v>60</v>
      </c>
    </row>
    <row r="531" spans="1:3">
      <c r="A531" s="10" t="s">
        <v>50</v>
      </c>
      <c r="B531" t="s">
        <v>129</v>
      </c>
      <c r="C531" t="s">
        <v>130</v>
      </c>
    </row>
    <row r="532" spans="1:3">
      <c r="A532" s="11" t="s">
        <v>176</v>
      </c>
      <c r="B532" s="12">
        <v>216800</v>
      </c>
      <c r="C532" s="12">
        <v>234954.93599999999</v>
      </c>
    </row>
    <row r="533" spans="1:3">
      <c r="A533" s="11" t="s">
        <v>167</v>
      </c>
      <c r="B533" s="12">
        <v>356900</v>
      </c>
      <c r="C533" s="12">
        <v>337029.12</v>
      </c>
    </row>
    <row r="534" spans="1:3">
      <c r="A534" s="11" t="s">
        <v>51</v>
      </c>
      <c r="B534" s="12">
        <v>573700</v>
      </c>
      <c r="C534" s="12">
        <v>571984.05599999998</v>
      </c>
    </row>
    <row r="535" spans="1:3">
      <c r="B535"/>
    </row>
    <row r="553" spans="1:3">
      <c r="A553" s="10" t="s">
        <v>113</v>
      </c>
      <c r="B553" t="s">
        <v>60</v>
      </c>
    </row>
    <row r="554" spans="1:3">
      <c r="A554" s="10" t="s">
        <v>105</v>
      </c>
      <c r="B554" t="s">
        <v>60</v>
      </c>
    </row>
    <row r="556" spans="1:3">
      <c r="A556" s="10" t="s">
        <v>50</v>
      </c>
      <c r="B556" t="s">
        <v>129</v>
      </c>
      <c r="C556" t="s">
        <v>130</v>
      </c>
    </row>
    <row r="557" spans="1:3">
      <c r="A557" s="11" t="s">
        <v>168</v>
      </c>
      <c r="B557" s="12">
        <v>1099900</v>
      </c>
      <c r="C557" s="12">
        <v>1000379.664</v>
      </c>
    </row>
    <row r="558" spans="1:3">
      <c r="A558" s="11" t="s">
        <v>121</v>
      </c>
      <c r="B558" s="12">
        <v>1524900</v>
      </c>
      <c r="C558" s="12">
        <v>1303881.4080000001</v>
      </c>
    </row>
    <row r="559" spans="1:3">
      <c r="A559" s="11" t="s">
        <v>51</v>
      </c>
      <c r="B559" s="12">
        <v>2624800</v>
      </c>
      <c r="C559" s="12">
        <v>2304261.0720000002</v>
      </c>
    </row>
    <row r="578" spans="1:3">
      <c r="A578" s="10" t="s">
        <v>113</v>
      </c>
      <c r="B578" t="s">
        <v>60</v>
      </c>
    </row>
    <row r="579" spans="1:3">
      <c r="A579" s="10" t="s">
        <v>105</v>
      </c>
      <c r="B579" t="s">
        <v>60</v>
      </c>
    </row>
    <row r="581" spans="1:3">
      <c r="A581" s="10" t="s">
        <v>50</v>
      </c>
      <c r="B581" t="s">
        <v>129</v>
      </c>
      <c r="C581" t="s">
        <v>130</v>
      </c>
    </row>
    <row r="582" spans="1:3">
      <c r="A582" s="11" t="s">
        <v>173</v>
      </c>
      <c r="B582" s="12">
        <v>329900</v>
      </c>
      <c r="C582" s="12">
        <v>352651.82400000002</v>
      </c>
    </row>
    <row r="583" spans="1:3">
      <c r="A583" s="11" t="s">
        <v>171</v>
      </c>
      <c r="B583" s="12">
        <v>449900</v>
      </c>
      <c r="C583" s="12">
        <v>406278.07199999999</v>
      </c>
    </row>
    <row r="584" spans="1:3">
      <c r="A584" s="11" t="s">
        <v>51</v>
      </c>
      <c r="B584" s="12">
        <v>779800</v>
      </c>
      <c r="C584" s="12">
        <v>758929.89599999995</v>
      </c>
    </row>
    <row r="603" spans="1:3">
      <c r="A603" s="10" t="s">
        <v>113</v>
      </c>
      <c r="B603" t="s">
        <v>60</v>
      </c>
    </row>
    <row r="604" spans="1:3">
      <c r="A604" s="10" t="s">
        <v>105</v>
      </c>
      <c r="B604" t="s">
        <v>60</v>
      </c>
    </row>
    <row r="606" spans="1:3">
      <c r="A606" s="10" t="s">
        <v>50</v>
      </c>
      <c r="B606" t="s">
        <v>129</v>
      </c>
      <c r="C606" t="s">
        <v>130</v>
      </c>
    </row>
    <row r="607" spans="1:3">
      <c r="A607" s="11" t="s">
        <v>198</v>
      </c>
      <c r="B607" s="12">
        <v>558100</v>
      </c>
      <c r="C607" s="12">
        <v>618852.16799999995</v>
      </c>
    </row>
    <row r="608" spans="1:3">
      <c r="A608" s="11" t="s">
        <v>172</v>
      </c>
      <c r="B608" s="12">
        <v>891600</v>
      </c>
      <c r="C608" s="12">
        <v>687311.20799999998</v>
      </c>
    </row>
    <row r="609" spans="1:3">
      <c r="A609" s="11" t="s">
        <v>51</v>
      </c>
      <c r="B609" s="12">
        <v>1449700</v>
      </c>
      <c r="C609" s="12">
        <v>1306163.3759999999</v>
      </c>
    </row>
    <row r="628" spans="1:3">
      <c r="A628" s="10" t="s">
        <v>113</v>
      </c>
      <c r="B628" t="s">
        <v>60</v>
      </c>
    </row>
    <row r="629" spans="1:3">
      <c r="A629" s="10" t="s">
        <v>105</v>
      </c>
      <c r="B629" t="s">
        <v>60</v>
      </c>
    </row>
    <row r="631" spans="1:3">
      <c r="A631" s="10" t="s">
        <v>50</v>
      </c>
      <c r="B631" t="s">
        <v>129</v>
      </c>
      <c r="C631" t="s">
        <v>130</v>
      </c>
    </row>
    <row r="632" spans="1:3">
      <c r="A632" s="11" t="s">
        <v>174</v>
      </c>
      <c r="B632" s="12">
        <v>662800</v>
      </c>
      <c r="C632" s="12">
        <v>473420.592</v>
      </c>
    </row>
    <row r="633" spans="1:3">
      <c r="A633" s="11" t="s">
        <v>122</v>
      </c>
      <c r="B633" s="12">
        <v>839900</v>
      </c>
      <c r="C633" s="12">
        <v>645884.71200000006</v>
      </c>
    </row>
    <row r="634" spans="1:3">
      <c r="A634" s="11" t="s">
        <v>51</v>
      </c>
      <c r="B634" s="12">
        <v>1502700</v>
      </c>
      <c r="C634" s="12">
        <v>1119305.304</v>
      </c>
    </row>
    <row r="653" spans="1:3">
      <c r="A653" s="10" t="s">
        <v>113</v>
      </c>
      <c r="B653" t="s">
        <v>60</v>
      </c>
    </row>
    <row r="654" spans="1:3">
      <c r="A654" s="10" t="s">
        <v>105</v>
      </c>
      <c r="B654" t="s">
        <v>60</v>
      </c>
    </row>
    <row r="656" spans="1:3">
      <c r="A656" s="10" t="s">
        <v>50</v>
      </c>
      <c r="B656" t="s">
        <v>129</v>
      </c>
      <c r="C656" t="s">
        <v>130</v>
      </c>
    </row>
    <row r="657" spans="1:3">
      <c r="A657" s="11" t="s">
        <v>133</v>
      </c>
      <c r="B657" s="12">
        <v>333270</v>
      </c>
      <c r="C657" s="12">
        <v>344752.70399999997</v>
      </c>
    </row>
    <row r="658" spans="1:3">
      <c r="A658" s="11" t="s">
        <v>132</v>
      </c>
      <c r="B658" s="12">
        <v>424770</v>
      </c>
      <c r="C658" s="12">
        <v>411807.45600000001</v>
      </c>
    </row>
    <row r="659" spans="1:3">
      <c r="A659" s="11" t="s">
        <v>51</v>
      </c>
      <c r="B659" s="12">
        <v>758040</v>
      </c>
      <c r="C659" s="12">
        <v>756560.15999999992</v>
      </c>
    </row>
    <row r="678" spans="1:3">
      <c r="A678" s="10" t="s">
        <v>113</v>
      </c>
      <c r="B678" t="s">
        <v>60</v>
      </c>
    </row>
    <row r="679" spans="1:3">
      <c r="A679" s="10" t="s">
        <v>105</v>
      </c>
      <c r="B679" t="s">
        <v>60</v>
      </c>
    </row>
    <row r="681" spans="1:3">
      <c r="A681" s="10" t="s">
        <v>50</v>
      </c>
      <c r="B681" t="s">
        <v>129</v>
      </c>
      <c r="C681" t="s">
        <v>130</v>
      </c>
    </row>
    <row r="682" spans="1:3">
      <c r="A682" s="11" t="s">
        <v>134</v>
      </c>
      <c r="B682" s="12">
        <v>814070</v>
      </c>
      <c r="C682" s="12">
        <v>682483.96799999999</v>
      </c>
    </row>
    <row r="683" spans="1:3">
      <c r="A683" s="11" t="s">
        <v>206</v>
      </c>
      <c r="B683" s="12">
        <v>538990</v>
      </c>
      <c r="C683" s="12">
        <v>700651.94400000002</v>
      </c>
    </row>
    <row r="684" spans="1:3">
      <c r="A684" s="11" t="s">
        <v>51</v>
      </c>
      <c r="B684" s="12">
        <v>1353060</v>
      </c>
      <c r="C684" s="12">
        <v>1383135.912</v>
      </c>
    </row>
    <row r="703" spans="2:2">
      <c r="B703"/>
    </row>
    <row r="704" spans="2:2">
      <c r="B704"/>
    </row>
    <row r="705" spans="1:3">
      <c r="B705"/>
    </row>
    <row r="706" spans="1:3">
      <c r="A706" s="10" t="s">
        <v>113</v>
      </c>
      <c r="B706" t="s">
        <v>60</v>
      </c>
    </row>
    <row r="707" spans="1:3">
      <c r="A707" s="10" t="s">
        <v>105</v>
      </c>
      <c r="B707" t="s">
        <v>60</v>
      </c>
    </row>
    <row r="709" spans="1:3">
      <c r="A709" s="10" t="s">
        <v>50</v>
      </c>
      <c r="B709" t="s">
        <v>129</v>
      </c>
      <c r="C709" t="s">
        <v>130</v>
      </c>
    </row>
    <row r="710" spans="1:3">
      <c r="A710" s="11" t="s">
        <v>194</v>
      </c>
      <c r="B710" s="12">
        <v>459100</v>
      </c>
      <c r="C710" s="12">
        <v>481846.31999999995</v>
      </c>
    </row>
    <row r="711" spans="1:3">
      <c r="A711" s="11" t="s">
        <v>186</v>
      </c>
      <c r="B711" s="12">
        <v>610900</v>
      </c>
      <c r="C711" s="12">
        <v>553552.77599999995</v>
      </c>
    </row>
    <row r="712" spans="1:3">
      <c r="A712" s="11" t="s">
        <v>51</v>
      </c>
      <c r="B712" s="12">
        <v>1070000</v>
      </c>
      <c r="C712" s="12">
        <v>1035399.0959999999</v>
      </c>
    </row>
    <row r="713" spans="1:3">
      <c r="B713"/>
    </row>
    <row r="714" spans="1:3">
      <c r="B714"/>
    </row>
    <row r="715" spans="1:3">
      <c r="B715"/>
    </row>
    <row r="716" spans="1:3">
      <c r="B716"/>
    </row>
    <row r="717" spans="1:3">
      <c r="B717"/>
    </row>
    <row r="718" spans="1:3">
      <c r="B718"/>
    </row>
    <row r="719" spans="1:3">
      <c r="B719"/>
    </row>
    <row r="720" spans="1:3">
      <c r="B720"/>
    </row>
    <row r="721" spans="1:3">
      <c r="B721"/>
    </row>
    <row r="722" spans="1:3">
      <c r="B722"/>
    </row>
    <row r="723" spans="1:3">
      <c r="B723"/>
    </row>
    <row r="724" spans="1:3">
      <c r="B724"/>
    </row>
    <row r="725" spans="1:3">
      <c r="B725"/>
    </row>
    <row r="726" spans="1:3">
      <c r="B726"/>
    </row>
    <row r="727" spans="1:3">
      <c r="B727"/>
    </row>
    <row r="728" spans="1:3">
      <c r="B728"/>
    </row>
    <row r="729" spans="1:3">
      <c r="B729"/>
    </row>
    <row r="730" spans="1:3">
      <c r="A730" s="10" t="s">
        <v>113</v>
      </c>
      <c r="B730" t="s">
        <v>60</v>
      </c>
    </row>
    <row r="731" spans="1:3">
      <c r="A731" s="10" t="s">
        <v>105</v>
      </c>
      <c r="B731" t="s">
        <v>60</v>
      </c>
    </row>
    <row r="733" spans="1:3">
      <c r="A733" s="10" t="s">
        <v>50</v>
      </c>
      <c r="B733" t="s">
        <v>129</v>
      </c>
      <c r="C733" t="s">
        <v>130</v>
      </c>
    </row>
    <row r="734" spans="1:3">
      <c r="A734" s="11" t="s">
        <v>195</v>
      </c>
      <c r="B734" s="12">
        <v>618000</v>
      </c>
      <c r="C734" s="12">
        <v>530382.02399999998</v>
      </c>
    </row>
    <row r="735" spans="1:3">
      <c r="A735" s="11" t="s">
        <v>179</v>
      </c>
      <c r="B735" s="12">
        <v>743000</v>
      </c>
      <c r="C735" s="12">
        <v>587518.99199999997</v>
      </c>
    </row>
    <row r="736" spans="1:3">
      <c r="A736" s="11" t="s">
        <v>51</v>
      </c>
      <c r="B736" s="12">
        <v>1361000</v>
      </c>
      <c r="C736" s="12">
        <v>1117901.0159999998</v>
      </c>
    </row>
    <row r="737" spans="2:2">
      <c r="B737"/>
    </row>
    <row r="738" spans="2:2">
      <c r="B738"/>
    </row>
    <row r="739" spans="2:2">
      <c r="B739"/>
    </row>
    <row r="740" spans="2:2">
      <c r="B740"/>
    </row>
    <row r="741" spans="2:2">
      <c r="B741"/>
    </row>
    <row r="742" spans="2:2">
      <c r="B742"/>
    </row>
    <row r="743" spans="2:2">
      <c r="B743"/>
    </row>
    <row r="744" spans="2:2">
      <c r="B744"/>
    </row>
    <row r="745" spans="2:2">
      <c r="B745"/>
    </row>
    <row r="746" spans="2:2">
      <c r="B746"/>
    </row>
    <row r="747" spans="2:2">
      <c r="B747"/>
    </row>
    <row r="748" spans="2:2">
      <c r="B748"/>
    </row>
    <row r="749" spans="2:2">
      <c r="B749"/>
    </row>
    <row r="750" spans="2:2">
      <c r="B750"/>
    </row>
    <row r="751" spans="2:2">
      <c r="B751"/>
    </row>
    <row r="759" spans="1:3">
      <c r="B759"/>
    </row>
    <row r="760" spans="1:3">
      <c r="A760" s="10" t="s">
        <v>113</v>
      </c>
      <c r="B760" t="s">
        <v>60</v>
      </c>
    </row>
    <row r="761" spans="1:3">
      <c r="A761" s="10" t="s">
        <v>105</v>
      </c>
      <c r="B761" t="s">
        <v>60</v>
      </c>
    </row>
    <row r="763" spans="1:3">
      <c r="A763" s="10" t="s">
        <v>50</v>
      </c>
      <c r="B763" t="s">
        <v>129</v>
      </c>
      <c r="C763" t="s">
        <v>130</v>
      </c>
    </row>
    <row r="764" spans="1:3">
      <c r="A764" s="11" t="s">
        <v>196</v>
      </c>
      <c r="B764" s="12">
        <v>497381.25599999999</v>
      </c>
      <c r="C764" s="12">
        <v>750000</v>
      </c>
    </row>
    <row r="765" spans="1:3">
      <c r="A765" s="11" t="s">
        <v>197</v>
      </c>
      <c r="B765" s="12">
        <v>668616.62399999995</v>
      </c>
      <c r="C765" s="12">
        <v>802000</v>
      </c>
    </row>
    <row r="766" spans="1:3">
      <c r="A766" s="11" t="s">
        <v>51</v>
      </c>
      <c r="B766" s="12">
        <v>1165997.8799999999</v>
      </c>
      <c r="C766" s="12">
        <v>1552000</v>
      </c>
    </row>
    <row r="767" spans="1:3">
      <c r="B767"/>
    </row>
    <row r="768" spans="1:3">
      <c r="B768"/>
    </row>
    <row r="769" spans="2:2">
      <c r="B769"/>
    </row>
    <row r="770" spans="2:2">
      <c r="B770"/>
    </row>
    <row r="771" spans="2:2">
      <c r="B771"/>
    </row>
    <row r="772" spans="2:2">
      <c r="B772"/>
    </row>
    <row r="773" spans="2:2">
      <c r="B773"/>
    </row>
    <row r="774" spans="2:2">
      <c r="B774"/>
    </row>
    <row r="775" spans="2:2">
      <c r="B775"/>
    </row>
    <row r="776" spans="2:2">
      <c r="B776"/>
    </row>
    <row r="777" spans="2:2">
      <c r="B777"/>
    </row>
    <row r="778" spans="2:2">
      <c r="B778"/>
    </row>
    <row r="779" spans="2:2">
      <c r="B779"/>
    </row>
    <row r="780" spans="2:2">
      <c r="B780"/>
    </row>
    <row r="781" spans="2:2">
      <c r="B781"/>
    </row>
    <row r="782" spans="2:2">
      <c r="B782"/>
    </row>
    <row r="783" spans="2:2">
      <c r="B783"/>
    </row>
    <row r="784" spans="2:2">
      <c r="B784"/>
    </row>
    <row r="785" spans="2:2">
      <c r="B785"/>
    </row>
    <row r="786" spans="2:2">
      <c r="B786"/>
    </row>
    <row r="787" spans="2:2">
      <c r="B787"/>
    </row>
    <row r="788" spans="2:2">
      <c r="B788"/>
    </row>
    <row r="789" spans="2:2">
      <c r="B789"/>
    </row>
    <row r="790" spans="2:2">
      <c r="B790"/>
    </row>
    <row r="791" spans="2:2">
      <c r="B791"/>
    </row>
    <row r="792" spans="2:2">
      <c r="B792"/>
    </row>
    <row r="793" spans="2:2">
      <c r="B793"/>
    </row>
    <row r="794" spans="2:2">
      <c r="B794"/>
    </row>
    <row r="795" spans="2:2">
      <c r="B795"/>
    </row>
    <row r="796" spans="2:2">
      <c r="B796"/>
    </row>
    <row r="797" spans="2:2">
      <c r="B797"/>
    </row>
    <row r="798" spans="2:2">
      <c r="B798"/>
    </row>
    <row r="799" spans="2:2">
      <c r="B799"/>
    </row>
    <row r="800" spans="2:2">
      <c r="B800"/>
    </row>
    <row r="801" spans="2:2">
      <c r="B801"/>
    </row>
    <row r="802" spans="2:2">
      <c r="B802"/>
    </row>
    <row r="803" spans="2:2">
      <c r="B803"/>
    </row>
    <row r="804" spans="2:2">
      <c r="B804"/>
    </row>
    <row r="805" spans="2:2">
      <c r="B805"/>
    </row>
    <row r="806" spans="2:2">
      <c r="B806"/>
    </row>
    <row r="807" spans="2:2">
      <c r="B807"/>
    </row>
    <row r="808" spans="2:2">
      <c r="B808"/>
    </row>
    <row r="809" spans="2:2">
      <c r="B809"/>
    </row>
    <row r="810" spans="2:2">
      <c r="B810"/>
    </row>
    <row r="811" spans="2:2">
      <c r="B811"/>
    </row>
    <row r="812" spans="2:2">
      <c r="B812"/>
    </row>
    <row r="813" spans="2:2">
      <c r="B813"/>
    </row>
    <row r="814" spans="2:2">
      <c r="B814"/>
    </row>
    <row r="815" spans="2:2">
      <c r="B815"/>
    </row>
    <row r="816" spans="2:2">
      <c r="B816"/>
    </row>
    <row r="817" spans="2:2">
      <c r="B817"/>
    </row>
    <row r="818" spans="2:2">
      <c r="B818"/>
    </row>
    <row r="819" spans="2:2">
      <c r="B819"/>
    </row>
    <row r="820" spans="2:2">
      <c r="B820"/>
    </row>
    <row r="821" spans="2:2">
      <c r="B821"/>
    </row>
    <row r="822" spans="2:2">
      <c r="B822"/>
    </row>
    <row r="823" spans="2:2">
      <c r="B823"/>
    </row>
    <row r="824" spans="2:2">
      <c r="B824"/>
    </row>
    <row r="825" spans="2:2">
      <c r="B825"/>
    </row>
    <row r="826" spans="2:2">
      <c r="B826"/>
    </row>
    <row r="827" spans="2:2">
      <c r="B827"/>
    </row>
    <row r="828" spans="2:2">
      <c r="B828"/>
    </row>
    <row r="829" spans="2:2">
      <c r="B829"/>
    </row>
    <row r="830" spans="2:2">
      <c r="B830"/>
    </row>
    <row r="831" spans="2:2">
      <c r="B831"/>
    </row>
    <row r="832" spans="2:2">
      <c r="B832"/>
    </row>
    <row r="833" spans="2:2">
      <c r="B833"/>
    </row>
    <row r="834" spans="2:2">
      <c r="B834"/>
    </row>
    <row r="835" spans="2:2">
      <c r="B835"/>
    </row>
    <row r="836" spans="2:2">
      <c r="B836"/>
    </row>
    <row r="837" spans="2:2">
      <c r="B837"/>
    </row>
    <row r="838" spans="2:2">
      <c r="B838"/>
    </row>
    <row r="839" spans="2:2">
      <c r="B839"/>
    </row>
    <row r="840" spans="2:2">
      <c r="B840"/>
    </row>
    <row r="841" spans="2:2">
      <c r="B841"/>
    </row>
    <row r="842" spans="2:2">
      <c r="B842"/>
    </row>
    <row r="843" spans="2:2">
      <c r="B843"/>
    </row>
    <row r="844" spans="2:2">
      <c r="B844"/>
    </row>
    <row r="845" spans="2:2">
      <c r="B845"/>
    </row>
    <row r="846" spans="2:2">
      <c r="B846"/>
    </row>
    <row r="847" spans="2:2">
      <c r="B847"/>
    </row>
    <row r="848" spans="2:2">
      <c r="B848"/>
    </row>
    <row r="849" spans="2:2">
      <c r="B849"/>
    </row>
    <row r="850" spans="2:2">
      <c r="B850"/>
    </row>
    <row r="851" spans="2:2">
      <c r="B851"/>
    </row>
    <row r="852" spans="2:2">
      <c r="B852"/>
    </row>
    <row r="853" spans="2:2">
      <c r="B853"/>
    </row>
    <row r="854" spans="2:2">
      <c r="B854"/>
    </row>
    <row r="855" spans="2:2">
      <c r="B855"/>
    </row>
    <row r="856" spans="2:2">
      <c r="B856"/>
    </row>
    <row r="857" spans="2:2">
      <c r="B857"/>
    </row>
    <row r="858" spans="2:2">
      <c r="B858"/>
    </row>
    <row r="859" spans="2:2">
      <c r="B859"/>
    </row>
    <row r="860" spans="2:2">
      <c r="B860"/>
    </row>
    <row r="861" spans="2:2">
      <c r="B861"/>
    </row>
    <row r="862" spans="2:2">
      <c r="B862"/>
    </row>
    <row r="863" spans="2:2">
      <c r="B863"/>
    </row>
    <row r="864" spans="2:2">
      <c r="B864"/>
    </row>
    <row r="865" spans="2:2">
      <c r="B865"/>
    </row>
    <row r="866" spans="2:2">
      <c r="B866"/>
    </row>
    <row r="867" spans="2:2">
      <c r="B867"/>
    </row>
    <row r="868" spans="2:2">
      <c r="B868"/>
    </row>
    <row r="869" spans="2:2">
      <c r="B869"/>
    </row>
    <row r="870" spans="2:2">
      <c r="B870"/>
    </row>
    <row r="871" spans="2:2">
      <c r="B871"/>
    </row>
    <row r="872" spans="2:2">
      <c r="B872"/>
    </row>
    <row r="873" spans="2:2">
      <c r="B873"/>
    </row>
    <row r="874" spans="2:2">
      <c r="B874"/>
    </row>
    <row r="875" spans="2:2">
      <c r="B875"/>
    </row>
    <row r="876" spans="2:2">
      <c r="B876"/>
    </row>
  </sheetData>
  <pageMargins left="0.7" right="0.7" top="0.75" bottom="0.75" header="0.3" footer="0.3"/>
  <drawing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F2F05-CBDE-4329-978C-38FA5CC4D094}">
  <dimension ref="C4:H45"/>
  <sheetViews>
    <sheetView topLeftCell="C14" workbookViewId="0">
      <selection activeCell="D50" sqref="D50"/>
    </sheetView>
  </sheetViews>
  <sheetFormatPr baseColWidth="10" defaultRowHeight="14.4"/>
  <cols>
    <col min="3" max="3" width="46.44140625" bestFit="1" customWidth="1"/>
    <col min="4" max="4" width="16.44140625" bestFit="1" customWidth="1"/>
    <col min="5" max="5" width="13.109375" bestFit="1" customWidth="1"/>
    <col min="6" max="6" width="16.77734375" bestFit="1" customWidth="1"/>
    <col min="7" max="7" width="25.33203125" bestFit="1" customWidth="1"/>
    <col min="8" max="8" width="29" bestFit="1" customWidth="1"/>
  </cols>
  <sheetData>
    <row r="4" spans="3:8" ht="17.399999999999999">
      <c r="C4" s="47" t="s">
        <v>182</v>
      </c>
      <c r="D4" s="47" t="s">
        <v>129</v>
      </c>
      <c r="E4" s="47" t="s">
        <v>130</v>
      </c>
      <c r="F4" s="47" t="s">
        <v>131</v>
      </c>
      <c r="G4" s="47" t="s">
        <v>183</v>
      </c>
      <c r="H4" s="47" t="s">
        <v>184</v>
      </c>
    </row>
    <row r="5" spans="3:8" ht="17.399999999999999">
      <c r="C5" s="48" t="s">
        <v>135</v>
      </c>
      <c r="D5" s="49">
        <v>502500</v>
      </c>
      <c r="E5" s="49">
        <v>399783</v>
      </c>
      <c r="F5" s="49">
        <v>372579</v>
      </c>
      <c r="G5" s="50">
        <v>-0.2044</v>
      </c>
      <c r="H5" s="50">
        <v>-0.2586</v>
      </c>
    </row>
    <row r="6" spans="3:8" ht="17.399999999999999">
      <c r="C6" s="51" t="s">
        <v>156</v>
      </c>
      <c r="D6" s="52">
        <v>550900</v>
      </c>
      <c r="E6" s="52">
        <v>439630</v>
      </c>
      <c r="F6" s="52">
        <v>403412</v>
      </c>
      <c r="G6" s="53">
        <v>-0.20200000000000001</v>
      </c>
      <c r="H6" s="53">
        <v>-0.26769999999999999</v>
      </c>
    </row>
    <row r="7" spans="3:8" ht="17.399999999999999">
      <c r="C7" s="51" t="s">
        <v>149</v>
      </c>
      <c r="D7" s="52">
        <v>1008000</v>
      </c>
      <c r="E7" s="52">
        <v>701793</v>
      </c>
      <c r="F7" s="52">
        <v>662567</v>
      </c>
      <c r="G7" s="53">
        <v>-0.30380000000000001</v>
      </c>
      <c r="H7" s="53">
        <v>-0.3427</v>
      </c>
    </row>
    <row r="11" spans="3:8" ht="17.399999999999999">
      <c r="C11" s="47" t="s">
        <v>182</v>
      </c>
      <c r="D11" s="47" t="s">
        <v>129</v>
      </c>
      <c r="E11" s="47" t="s">
        <v>130</v>
      </c>
      <c r="F11" s="47" t="s">
        <v>131</v>
      </c>
      <c r="G11" s="47" t="s">
        <v>183</v>
      </c>
      <c r="H11" s="47" t="s">
        <v>184</v>
      </c>
    </row>
    <row r="12" spans="3:8">
      <c r="C12" s="11" t="s">
        <v>179</v>
      </c>
      <c r="D12" s="12">
        <v>743000</v>
      </c>
      <c r="E12" s="12">
        <v>587518.99199999997</v>
      </c>
      <c r="F12" s="12">
        <v>577895.69999999984</v>
      </c>
      <c r="G12" s="46">
        <v>-0.20926111440107675</v>
      </c>
      <c r="H12" s="46">
        <v>-0.22221305518169604</v>
      </c>
    </row>
    <row r="13" spans="3:8">
      <c r="C13" s="11" t="s">
        <v>134</v>
      </c>
      <c r="D13" s="12">
        <v>814070</v>
      </c>
      <c r="E13" s="12">
        <v>632017.36800000002</v>
      </c>
      <c r="F13" s="12">
        <v>624727.84</v>
      </c>
      <c r="G13" s="46">
        <v>-0.22363265075484906</v>
      </c>
      <c r="H13" s="46">
        <v>-0.23258707482157559</v>
      </c>
    </row>
    <row r="14" spans="3:8">
      <c r="C14" s="11" t="s">
        <v>155</v>
      </c>
      <c r="D14" s="12">
        <v>739900</v>
      </c>
      <c r="E14" s="12">
        <v>573125.03999999992</v>
      </c>
      <c r="F14" s="12">
        <v>564344.12299999991</v>
      </c>
      <c r="G14" s="46">
        <v>-0.22540202730098674</v>
      </c>
      <c r="H14" s="46">
        <v>-0.23726973509933788</v>
      </c>
    </row>
    <row r="15" spans="3:8">
      <c r="C15" s="11" t="s">
        <v>172</v>
      </c>
      <c r="D15" s="12">
        <v>891600</v>
      </c>
      <c r="E15" s="12">
        <v>687311.20799999998</v>
      </c>
      <c r="F15" s="12">
        <v>673651.57239999995</v>
      </c>
      <c r="G15" s="46">
        <v>-0.22912605652759088</v>
      </c>
      <c r="H15" s="46">
        <v>-0.24444641947061471</v>
      </c>
    </row>
    <row r="16" spans="3:8">
      <c r="C16" s="11" t="s">
        <v>180</v>
      </c>
      <c r="D16" s="12">
        <v>1135000</v>
      </c>
      <c r="E16" s="12">
        <v>907872.19200000004</v>
      </c>
      <c r="F16" s="12">
        <v>845307.5</v>
      </c>
      <c r="G16" s="46">
        <v>-0.20011260616740084</v>
      </c>
      <c r="H16" s="46">
        <v>-0.25523568281938325</v>
      </c>
    </row>
    <row r="17" spans="3:8">
      <c r="C17" s="11" t="s">
        <v>146</v>
      </c>
      <c r="D17" s="12">
        <v>1702600</v>
      </c>
      <c r="E17" s="12">
        <v>1184780.2319999998</v>
      </c>
      <c r="F17" s="12">
        <v>1233938.4999999998</v>
      </c>
      <c r="G17" s="46">
        <v>-0.30413471631622235</v>
      </c>
      <c r="H17" s="46">
        <v>-0.27526224597674159</v>
      </c>
    </row>
    <row r="18" spans="3:8">
      <c r="C18" s="11" t="s">
        <v>145</v>
      </c>
      <c r="D18" s="12">
        <v>507000</v>
      </c>
      <c r="E18" s="12">
        <v>401714.136</v>
      </c>
      <c r="F18" s="12">
        <v>363699.68999999994</v>
      </c>
      <c r="G18" s="46">
        <v>-0.20766442603550295</v>
      </c>
      <c r="H18" s="46">
        <v>-0.2826436094674557</v>
      </c>
    </row>
    <row r="19" spans="3:8">
      <c r="C19" s="11" t="s">
        <v>159</v>
      </c>
      <c r="D19" s="12">
        <v>692900</v>
      </c>
      <c r="E19" s="12">
        <v>501418.58399999997</v>
      </c>
      <c r="F19" s="12">
        <v>466413.31999999995</v>
      </c>
      <c r="G19" s="46">
        <v>-0.27634783662866214</v>
      </c>
      <c r="H19" s="46">
        <v>-0.32686777312743542</v>
      </c>
    </row>
    <row r="20" spans="3:8">
      <c r="C20" s="11" t="s">
        <v>142</v>
      </c>
      <c r="D20" s="12">
        <v>1170000</v>
      </c>
      <c r="E20" s="12">
        <v>728386.63199999998</v>
      </c>
      <c r="F20" s="12">
        <v>710409.04999999981</v>
      </c>
      <c r="G20" s="46">
        <v>-0.37744732307692308</v>
      </c>
      <c r="H20" s="46">
        <v>-0.3928127777777779</v>
      </c>
    </row>
    <row r="23" spans="3:8" ht="17.399999999999999">
      <c r="C23" s="47" t="s">
        <v>182</v>
      </c>
      <c r="D23" s="47" t="s">
        <v>129</v>
      </c>
      <c r="E23" s="47" t="s">
        <v>130</v>
      </c>
      <c r="F23" s="47" t="s">
        <v>131</v>
      </c>
      <c r="G23" s="47" t="s">
        <v>183</v>
      </c>
      <c r="H23" s="47" t="s">
        <v>184</v>
      </c>
    </row>
    <row r="24" spans="3:8">
      <c r="C24" s="11" t="s">
        <v>118</v>
      </c>
      <c r="D24" s="12">
        <v>1739900</v>
      </c>
      <c r="E24" s="12">
        <v>1398056.4719999998</v>
      </c>
      <c r="F24" s="12">
        <v>1381113.1999999997</v>
      </c>
      <c r="G24" s="46">
        <v>-0.19647308925800344</v>
      </c>
      <c r="H24" s="46">
        <v>-0.20621116156100944</v>
      </c>
    </row>
    <row r="25" spans="3:8">
      <c r="C25" s="11" t="s">
        <v>117</v>
      </c>
      <c r="D25" s="12">
        <v>1106400</v>
      </c>
      <c r="E25" s="12">
        <v>983089.36800000002</v>
      </c>
      <c r="F25" s="12">
        <v>878207.85</v>
      </c>
      <c r="G25" s="46">
        <v>-0.11145212581344902</v>
      </c>
      <c r="H25" s="46">
        <v>-0.20624742407809116</v>
      </c>
    </row>
    <row r="26" spans="3:8">
      <c r="C26" s="11" t="s">
        <v>119</v>
      </c>
      <c r="D26" s="12">
        <v>2173900</v>
      </c>
      <c r="E26" s="12">
        <v>1577542.0320000001</v>
      </c>
      <c r="F26" s="12">
        <v>1665894.1399999997</v>
      </c>
      <c r="G26" s="46">
        <v>-0.27432631123786738</v>
      </c>
      <c r="H26" s="46">
        <v>-0.23368409770458637</v>
      </c>
    </row>
    <row r="27" spans="3:8">
      <c r="C27" s="11" t="s">
        <v>181</v>
      </c>
      <c r="D27" s="12">
        <v>1055900</v>
      </c>
      <c r="E27" s="12">
        <v>720926.35200000007</v>
      </c>
      <c r="F27" s="12">
        <v>772183.1399999999</v>
      </c>
      <c r="G27" s="46">
        <v>-0.31723993559996205</v>
      </c>
      <c r="H27" s="46">
        <v>-0.26869671370394932</v>
      </c>
    </row>
    <row r="30" spans="3:8" ht="17.399999999999999">
      <c r="C30" s="47" t="s">
        <v>182</v>
      </c>
      <c r="D30" s="47" t="s">
        <v>129</v>
      </c>
      <c r="E30" s="47" t="s">
        <v>130</v>
      </c>
      <c r="F30" s="47" t="s">
        <v>131</v>
      </c>
      <c r="G30" s="47" t="s">
        <v>183</v>
      </c>
      <c r="H30" s="47" t="s">
        <v>184</v>
      </c>
    </row>
    <row r="31" spans="3:8">
      <c r="C31" s="11" t="s">
        <v>120</v>
      </c>
      <c r="D31" s="12">
        <v>402900</v>
      </c>
      <c r="E31" s="12">
        <v>444720.45600000001</v>
      </c>
      <c r="F31" s="12">
        <v>377736.70499999996</v>
      </c>
      <c r="G31" s="46">
        <v>0.10379860014892035</v>
      </c>
      <c r="H31" s="46">
        <v>-6.2455435591958403E-2</v>
      </c>
    </row>
    <row r="32" spans="3:8">
      <c r="C32" s="11" t="s">
        <v>132</v>
      </c>
      <c r="D32" s="12">
        <v>424770</v>
      </c>
      <c r="E32" s="12">
        <v>411807.45600000001</v>
      </c>
      <c r="F32" s="12">
        <v>386919.33999999997</v>
      </c>
      <c r="G32" s="46">
        <v>-3.0516618405254596E-2</v>
      </c>
      <c r="H32" s="46">
        <v>-8.9108599948207343E-2</v>
      </c>
    </row>
    <row r="33" spans="3:8">
      <c r="C33" s="11" t="s">
        <v>167</v>
      </c>
      <c r="D33" s="12">
        <v>356900</v>
      </c>
      <c r="E33" s="12">
        <v>337029.12</v>
      </c>
      <c r="F33" s="12">
        <v>322998.65999999997</v>
      </c>
      <c r="G33" s="46">
        <v>-5.5676323900252178E-2</v>
      </c>
      <c r="H33" s="46">
        <v>-9.4988344073970374E-2</v>
      </c>
    </row>
    <row r="34" spans="3:8">
      <c r="C34" s="11" t="s">
        <v>175</v>
      </c>
      <c r="D34" s="12">
        <v>423900</v>
      </c>
      <c r="E34" s="12">
        <v>386705.80800000002</v>
      </c>
      <c r="F34" s="12">
        <v>380311.20999999996</v>
      </c>
      <c r="G34" s="46">
        <v>-8.7742845010615675E-2</v>
      </c>
      <c r="H34" s="46">
        <v>-0.10282800188723763</v>
      </c>
    </row>
    <row r="35" spans="3:8">
      <c r="C35" s="11" t="s">
        <v>141</v>
      </c>
      <c r="D35" s="12">
        <v>699900</v>
      </c>
      <c r="E35" s="12">
        <v>647640.07200000004</v>
      </c>
      <c r="F35" s="12">
        <v>621739.44999999984</v>
      </c>
      <c r="G35" s="46">
        <v>-7.4667706815259249E-2</v>
      </c>
      <c r="H35" s="46">
        <v>-0.11167388198314068</v>
      </c>
    </row>
    <row r="36" spans="3:8">
      <c r="C36" s="11" t="s">
        <v>171</v>
      </c>
      <c r="D36" s="12">
        <v>449900</v>
      </c>
      <c r="E36" s="12">
        <v>406278.07199999999</v>
      </c>
      <c r="F36" s="12">
        <v>384212.67239999998</v>
      </c>
      <c r="G36" s="46">
        <v>-9.6959164258724209E-2</v>
      </c>
      <c r="H36" s="46">
        <v>-0.14600428450766842</v>
      </c>
    </row>
    <row r="37" spans="3:8">
      <c r="C37" s="11" t="s">
        <v>137</v>
      </c>
      <c r="D37" s="12">
        <v>442900</v>
      </c>
      <c r="E37" s="12">
        <v>379947.67199999996</v>
      </c>
      <c r="F37" s="12">
        <v>355576.31999999995</v>
      </c>
      <c r="G37" s="46">
        <v>-0.14213666290359006</v>
      </c>
      <c r="H37" s="46">
        <v>-0.19716342289455871</v>
      </c>
    </row>
    <row r="38" spans="3:8">
      <c r="C38" s="11" t="s">
        <v>135</v>
      </c>
      <c r="D38" s="12">
        <v>502500</v>
      </c>
      <c r="E38" s="12">
        <v>399783.24</v>
      </c>
      <c r="F38" s="12">
        <v>372578.57549999992</v>
      </c>
      <c r="G38" s="46">
        <v>-0.20441146268656715</v>
      </c>
      <c r="H38" s="46">
        <v>-0.25855009850746286</v>
      </c>
    </row>
    <row r="39" spans="3:8">
      <c r="C39" s="11" t="s">
        <v>156</v>
      </c>
      <c r="D39" s="12">
        <v>550900</v>
      </c>
      <c r="E39" s="12">
        <v>439629.91199999995</v>
      </c>
      <c r="F39" s="12">
        <v>403411.60499999992</v>
      </c>
      <c r="G39" s="46">
        <v>-0.20197874024323842</v>
      </c>
      <c r="H39" s="46">
        <v>-0.26772262661100032</v>
      </c>
    </row>
    <row r="40" spans="3:8">
      <c r="C40" s="11" t="s">
        <v>149</v>
      </c>
      <c r="D40" s="12">
        <v>1008000</v>
      </c>
      <c r="E40" s="12">
        <v>701792.92799999996</v>
      </c>
      <c r="F40" s="12">
        <v>662566.74999999988</v>
      </c>
      <c r="G40" s="46">
        <v>-0.30377685714285718</v>
      </c>
      <c r="H40" s="46">
        <v>-0.34269171626984141</v>
      </c>
    </row>
    <row r="42" spans="3:8" ht="17.399999999999999">
      <c r="C42" s="47" t="s">
        <v>182</v>
      </c>
      <c r="D42" s="47" t="s">
        <v>129</v>
      </c>
      <c r="E42" s="47" t="s">
        <v>130</v>
      </c>
      <c r="F42" s="47" t="s">
        <v>131</v>
      </c>
      <c r="G42" s="47" t="s">
        <v>183</v>
      </c>
      <c r="H42" s="47" t="s">
        <v>184</v>
      </c>
    </row>
    <row r="43" spans="3:8">
      <c r="C43" s="11" t="s">
        <v>135</v>
      </c>
      <c r="D43" s="12">
        <v>502500</v>
      </c>
      <c r="E43" s="12">
        <v>399783.24</v>
      </c>
      <c r="F43" s="12">
        <v>372578.57549999992</v>
      </c>
      <c r="G43" s="46">
        <v>-0.20441146268656715</v>
      </c>
      <c r="H43" s="46">
        <v>-0.25855009850746286</v>
      </c>
    </row>
    <row r="44" spans="3:8">
      <c r="C44" s="11" t="s">
        <v>156</v>
      </c>
      <c r="D44" s="12">
        <v>550900</v>
      </c>
      <c r="E44" s="12">
        <v>439629.91199999995</v>
      </c>
      <c r="F44" s="12">
        <v>403411.60499999992</v>
      </c>
      <c r="G44" s="46">
        <v>-0.20197874024323842</v>
      </c>
      <c r="H44" s="46">
        <v>-0.26772262661100032</v>
      </c>
    </row>
    <row r="45" spans="3:8">
      <c r="C45" s="11" t="s">
        <v>149</v>
      </c>
      <c r="D45" s="12">
        <v>1008000</v>
      </c>
      <c r="E45" s="12">
        <v>701792.92799999996</v>
      </c>
      <c r="F45" s="12">
        <v>662566.74999999988</v>
      </c>
      <c r="G45" s="46">
        <v>-0.30377685714285718</v>
      </c>
      <c r="H45" s="46">
        <v>-0.34269171626984141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F14DF-EB22-40EA-8315-544F3881B89F}">
  <dimension ref="A1:A20"/>
  <sheetViews>
    <sheetView workbookViewId="0">
      <selection activeCell="E28" sqref="E28"/>
    </sheetView>
  </sheetViews>
  <sheetFormatPr baseColWidth="10" defaultRowHeight="14.4"/>
  <cols>
    <col min="1" max="1" width="46.44140625" customWidth="1"/>
  </cols>
  <sheetData>
    <row r="1" spans="1:1">
      <c r="A1" s="54" t="s">
        <v>17</v>
      </c>
    </row>
    <row r="2" spans="1:1">
      <c r="A2" s="54"/>
    </row>
    <row r="3" spans="1:1">
      <c r="A3" s="54"/>
    </row>
    <row r="4" spans="1:1">
      <c r="A4" s="54"/>
    </row>
    <row r="5" spans="1:1">
      <c r="A5" s="54"/>
    </row>
    <row r="6" spans="1:1">
      <c r="A6" s="54"/>
    </row>
    <row r="7" spans="1:1">
      <c r="A7" s="54"/>
    </row>
    <row r="8" spans="1:1">
      <c r="A8" s="54"/>
    </row>
    <row r="9" spans="1:1">
      <c r="A9" s="54"/>
    </row>
    <row r="10" spans="1:1">
      <c r="A10" s="54"/>
    </row>
    <row r="11" spans="1:1">
      <c r="A11" s="54"/>
    </row>
    <row r="12" spans="1:1">
      <c r="A12" s="54"/>
    </row>
    <row r="13" spans="1:1">
      <c r="A13" s="54"/>
    </row>
    <row r="14" spans="1:1">
      <c r="A14" s="54"/>
    </row>
    <row r="15" spans="1:1">
      <c r="A15" s="54"/>
    </row>
    <row r="16" spans="1:1">
      <c r="A16" s="54"/>
    </row>
    <row r="17" spans="1:1">
      <c r="A17" s="54"/>
    </row>
    <row r="18" spans="1:1">
      <c r="A18" s="54"/>
    </row>
    <row r="19" spans="1:1">
      <c r="A19" s="54"/>
    </row>
    <row r="20" spans="1:1">
      <c r="A20" s="54"/>
    </row>
  </sheetData>
  <mergeCells count="1">
    <mergeCell ref="A1:A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Analysis 1</vt:lpstr>
      <vt:lpstr>Data for analysis</vt:lpstr>
      <vt:lpstr>Individual Vehicles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Almeida</dc:creator>
  <cp:lastModifiedBy>Marco Almeida</cp:lastModifiedBy>
  <cp:lastPrinted>2024-03-27T23:11:46Z</cp:lastPrinted>
  <dcterms:created xsi:type="dcterms:W3CDTF">2024-03-07T17:43:57Z</dcterms:created>
  <dcterms:modified xsi:type="dcterms:W3CDTF">2024-05-24T23:57:36Z</dcterms:modified>
</cp:coreProperties>
</file>